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f_8\Desktop\SCHOOL FEES\"/>
    </mc:Choice>
  </mc:AlternateContent>
  <xr:revisionPtr revIDLastSave="0" documentId="13_ncr:1_{040C7709-24DD-4998-AE56-930790C3AADE}" xr6:coauthVersionLast="47" xr6:coauthVersionMax="47" xr10:uidLastSave="{00000000-0000-0000-0000-000000000000}"/>
  <bookViews>
    <workbookView xWindow="-120" yWindow="-120" windowWidth="20730" windowHeight="11160" xr2:uid="{8361C3A1-26A9-48C8-BF71-09A690FFEDA9}"/>
  </bookViews>
  <sheets>
    <sheet name="LEVEL 100 FRESHERS" sheetId="1" r:id="rId1"/>
    <sheet name="ATHE" sheetId="2" r:id="rId2"/>
    <sheet name="LEVEL 200" sheetId="3" r:id="rId3"/>
    <sheet name="LEVEL 300" sheetId="8" r:id="rId4"/>
    <sheet name="LEVEL 400" sheetId="9" r:id="rId5"/>
    <sheet name="LEVEL 100 FRESHERS (SCIENCES)" sheetId="4" r:id="rId6"/>
    <sheet name="LEVEL 200 (SCIENCES)" sheetId="5" r:id="rId7"/>
    <sheet name="LEVEL 300 (SCIENCES)" sheetId="6" r:id="rId8"/>
    <sheet name="LEVEL 400 (SCIENCES)" sheetId="7" r:id="rId9"/>
    <sheet name="GRAD. SCH. LEVEL 500" sheetId="10" r:id="rId10"/>
    <sheet name="GRAD. SCH. LEVEL 600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2" i="11" l="1"/>
  <c r="G83" i="11"/>
  <c r="G81" i="11"/>
  <c r="B83" i="11"/>
  <c r="B82" i="11"/>
  <c r="B81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22" i="11"/>
  <c r="B36" i="11"/>
  <c r="B35" i="11"/>
  <c r="B34" i="11"/>
  <c r="B33" i="11"/>
  <c r="B32" i="11"/>
  <c r="B31" i="11"/>
  <c r="B30" i="11"/>
  <c r="B29" i="11"/>
  <c r="B28" i="11"/>
  <c r="B27" i="11"/>
  <c r="B26" i="11"/>
  <c r="B20" i="11"/>
  <c r="B19" i="11"/>
  <c r="B21" i="11"/>
  <c r="B25" i="11"/>
  <c r="B23" i="11"/>
  <c r="B24" i="11"/>
  <c r="B18" i="11"/>
  <c r="B17" i="11"/>
  <c r="B16" i="11"/>
  <c r="B13" i="11"/>
  <c r="B12" i="11"/>
  <c r="B11" i="11"/>
  <c r="B10" i="11"/>
  <c r="B15" i="11"/>
  <c r="B14" i="11"/>
  <c r="B9" i="11"/>
  <c r="B8" i="11"/>
  <c r="B7" i="11"/>
  <c r="B6" i="11"/>
  <c r="B83" i="10"/>
  <c r="G83" i="10" s="1"/>
  <c r="H84" i="10"/>
  <c r="G84" i="10"/>
  <c r="H82" i="10"/>
  <c r="G82" i="10"/>
  <c r="B84" i="10"/>
  <c r="B82" i="10"/>
  <c r="G70" i="10"/>
  <c r="B70" i="10"/>
  <c r="H63" i="10"/>
  <c r="H61" i="10"/>
  <c r="H60" i="10"/>
  <c r="H51" i="10"/>
  <c r="G66" i="10"/>
  <c r="G63" i="10"/>
  <c r="H50" i="10"/>
  <c r="H53" i="10"/>
  <c r="H68" i="10"/>
  <c r="H47" i="10"/>
  <c r="B72" i="10"/>
  <c r="B71" i="10"/>
  <c r="B69" i="10"/>
  <c r="H69" i="10" s="1"/>
  <c r="B68" i="10"/>
  <c r="G68" i="10" s="1"/>
  <c r="B67" i="10"/>
  <c r="G67" i="10" s="1"/>
  <c r="B66" i="10"/>
  <c r="H66" i="10" s="1"/>
  <c r="B65" i="10"/>
  <c r="G65" i="10" s="1"/>
  <c r="B64" i="10"/>
  <c r="H64" i="10" s="1"/>
  <c r="B63" i="10"/>
  <c r="B62" i="10"/>
  <c r="H62" i="10" s="1"/>
  <c r="B61" i="10"/>
  <c r="B60" i="10"/>
  <c r="B59" i="10"/>
  <c r="H59" i="10" s="1"/>
  <c r="B58" i="10"/>
  <c r="H58" i="10" s="1"/>
  <c r="B57" i="10"/>
  <c r="H57" i="10" s="1"/>
  <c r="B56" i="10"/>
  <c r="H56" i="10" s="1"/>
  <c r="B55" i="10"/>
  <c r="H55" i="10" s="1"/>
  <c r="B54" i="10"/>
  <c r="H54" i="10" s="1"/>
  <c r="B53" i="10"/>
  <c r="B51" i="10"/>
  <c r="B52" i="10"/>
  <c r="H52" i="10" s="1"/>
  <c r="B50" i="10"/>
  <c r="B49" i="10"/>
  <c r="H49" i="10" s="1"/>
  <c r="B48" i="10"/>
  <c r="H48" i="10" s="1"/>
  <c r="B47" i="10"/>
  <c r="H29" i="10"/>
  <c r="H20" i="10"/>
  <c r="H19" i="10"/>
  <c r="H13" i="10"/>
  <c r="H12" i="10"/>
  <c r="B9" i="10"/>
  <c r="G31" i="10"/>
  <c r="H9" i="10"/>
  <c r="H14" i="10"/>
  <c r="H15" i="10"/>
  <c r="B36" i="10"/>
  <c r="H36" i="10" s="1"/>
  <c r="B35" i="10"/>
  <c r="H35" i="10" s="1"/>
  <c r="B34" i="10"/>
  <c r="H34" i="10" s="1"/>
  <c r="B33" i="10"/>
  <c r="H33" i="10" s="1"/>
  <c r="B32" i="10"/>
  <c r="G32" i="10" s="1"/>
  <c r="B31" i="10"/>
  <c r="H31" i="10" s="1"/>
  <c r="B30" i="10"/>
  <c r="H30" i="10" s="1"/>
  <c r="B29" i="10"/>
  <c r="G29" i="10" s="1"/>
  <c r="B28" i="10"/>
  <c r="G28" i="10" s="1"/>
  <c r="B27" i="10"/>
  <c r="H27" i="10" s="1"/>
  <c r="B26" i="10"/>
  <c r="G26" i="10" s="1"/>
  <c r="B25" i="10"/>
  <c r="B24" i="10"/>
  <c r="B23" i="10"/>
  <c r="B22" i="10"/>
  <c r="H22" i="10" s="1"/>
  <c r="B21" i="10"/>
  <c r="H21" i="10" s="1"/>
  <c r="B20" i="10"/>
  <c r="B19" i="10"/>
  <c r="B18" i="10"/>
  <c r="H18" i="10" s="1"/>
  <c r="B17" i="10"/>
  <c r="H17" i="10" s="1"/>
  <c r="B16" i="10"/>
  <c r="H16" i="10" s="1"/>
  <c r="B15" i="10"/>
  <c r="B14" i="10"/>
  <c r="B13" i="10"/>
  <c r="B12" i="10"/>
  <c r="B11" i="10"/>
  <c r="H11" i="10" s="1"/>
  <c r="B10" i="10"/>
  <c r="H10" i="10" s="1"/>
  <c r="B8" i="10"/>
  <c r="H8" i="10" s="1"/>
  <c r="B7" i="10"/>
  <c r="H7" i="10" s="1"/>
  <c r="B6" i="10"/>
  <c r="H6" i="10" s="1"/>
  <c r="H83" i="10" l="1"/>
  <c r="H65" i="10"/>
  <c r="G64" i="10"/>
  <c r="G30" i="10"/>
  <c r="H67" i="10"/>
  <c r="H26" i="10"/>
  <c r="G69" i="10"/>
  <c r="H28" i="10"/>
  <c r="G27" i="10"/>
  <c r="H32" i="10"/>
  <c r="G33" i="10"/>
  <c r="C83" i="11"/>
  <c r="C82" i="11"/>
  <c r="C81" i="11"/>
  <c r="F69" i="11"/>
  <c r="G69" i="11" s="1"/>
  <c r="F68" i="11"/>
  <c r="G68" i="11" s="1"/>
  <c r="F67" i="11"/>
  <c r="G67" i="11" s="1"/>
  <c r="F66" i="11"/>
  <c r="G66" i="11" s="1"/>
  <c r="F65" i="11"/>
  <c r="G65" i="11" s="1"/>
  <c r="F64" i="11"/>
  <c r="G64" i="11" s="1"/>
  <c r="F63" i="11"/>
  <c r="G63" i="11" s="1"/>
  <c r="F62" i="11"/>
  <c r="G62" i="11" s="1"/>
  <c r="F61" i="11"/>
  <c r="G61" i="11" s="1"/>
  <c r="F60" i="11"/>
  <c r="G60" i="11" s="1"/>
  <c r="F59" i="11"/>
  <c r="F58" i="11"/>
  <c r="F57" i="11"/>
  <c r="F56" i="11"/>
  <c r="G56" i="11" s="1"/>
  <c r="F55" i="11"/>
  <c r="G55" i="11" s="1"/>
  <c r="F54" i="11"/>
  <c r="G54" i="11" s="1"/>
  <c r="F53" i="11"/>
  <c r="F52" i="11"/>
  <c r="G52" i="11" s="1"/>
  <c r="F51" i="11"/>
  <c r="G51" i="11" s="1"/>
  <c r="F50" i="11"/>
  <c r="G50" i="11" s="1"/>
  <c r="F49" i="11"/>
  <c r="F48" i="11"/>
  <c r="G48" i="11" s="1"/>
  <c r="F47" i="11"/>
  <c r="F46" i="11"/>
  <c r="G46" i="11" s="1"/>
  <c r="F45" i="11"/>
  <c r="G45" i="11" s="1"/>
  <c r="F44" i="11"/>
  <c r="G44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F25" i="11"/>
  <c r="F24" i="11"/>
  <c r="F23" i="11"/>
  <c r="F22" i="11"/>
  <c r="G22" i="11" s="1"/>
  <c r="F21" i="11"/>
  <c r="G21" i="11" s="1"/>
  <c r="F20" i="11"/>
  <c r="G20" i="11" s="1"/>
  <c r="F19" i="11"/>
  <c r="G19" i="11" s="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6" i="11"/>
  <c r="G6" i="11" s="1"/>
  <c r="C84" i="10"/>
  <c r="C83" i="10"/>
  <c r="C82" i="10"/>
  <c r="G72" i="10"/>
  <c r="G71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34" i="10"/>
  <c r="G25" i="10"/>
  <c r="G24" i="10"/>
  <c r="G23" i="10"/>
  <c r="G21" i="10"/>
  <c r="G17" i="10"/>
  <c r="G16" i="10"/>
  <c r="G14" i="10"/>
  <c r="G13" i="10"/>
  <c r="G9" i="10"/>
  <c r="G8" i="10"/>
  <c r="G7" i="10"/>
  <c r="G6" i="10"/>
  <c r="B140" i="7"/>
  <c r="B129" i="7"/>
  <c r="B128" i="7"/>
  <c r="B127" i="7"/>
  <c r="B116" i="7"/>
  <c r="B115" i="7"/>
  <c r="B114" i="7"/>
  <c r="B103" i="7"/>
  <c r="B102" i="7"/>
  <c r="B101" i="7"/>
  <c r="B90" i="7"/>
  <c r="B89" i="7"/>
  <c r="B78" i="7"/>
  <c r="B77" i="7"/>
  <c r="C93" i="9"/>
  <c r="H93" i="9" s="1"/>
  <c r="C84" i="9"/>
  <c r="I84" i="9" s="1"/>
  <c r="C74" i="9"/>
  <c r="I74" i="9" s="1"/>
  <c r="C62" i="9"/>
  <c r="I62" i="9" s="1"/>
  <c r="C58" i="9"/>
  <c r="I58" i="9" s="1"/>
  <c r="C57" i="9"/>
  <c r="I57" i="9" s="1"/>
  <c r="C56" i="9"/>
  <c r="I56" i="9" s="1"/>
  <c r="C55" i="9"/>
  <c r="I55" i="9" s="1"/>
  <c r="C54" i="9"/>
  <c r="I54" i="9" s="1"/>
  <c r="C53" i="9"/>
  <c r="I53" i="9" s="1"/>
  <c r="C52" i="9"/>
  <c r="I52" i="9" s="1"/>
  <c r="C51" i="9"/>
  <c r="I51" i="9" s="1"/>
  <c r="C50" i="9"/>
  <c r="I50" i="9" s="1"/>
  <c r="C49" i="9"/>
  <c r="I49" i="9" s="1"/>
  <c r="C48" i="9"/>
  <c r="I48" i="9" s="1"/>
  <c r="C44" i="9"/>
  <c r="I44" i="9" s="1"/>
  <c r="C43" i="9"/>
  <c r="I43" i="9" s="1"/>
  <c r="C42" i="9"/>
  <c r="I42" i="9" s="1"/>
  <c r="C41" i="9"/>
  <c r="I41" i="9" s="1"/>
  <c r="C40" i="9"/>
  <c r="I40" i="9" s="1"/>
  <c r="C39" i="9"/>
  <c r="I39" i="9" s="1"/>
  <c r="C28" i="9"/>
  <c r="I28" i="9" s="1"/>
  <c r="C24" i="9"/>
  <c r="I24" i="9" s="1"/>
  <c r="C23" i="9"/>
  <c r="I23" i="9" s="1"/>
  <c r="C22" i="9"/>
  <c r="I22" i="9" s="1"/>
  <c r="C21" i="9"/>
  <c r="I21" i="9" s="1"/>
  <c r="C20" i="9"/>
  <c r="I20" i="9" s="1"/>
  <c r="C19" i="9"/>
  <c r="I19" i="9" s="1"/>
  <c r="C18" i="9"/>
  <c r="I18" i="9" s="1"/>
  <c r="C17" i="9"/>
  <c r="I17" i="9" s="1"/>
  <c r="C16" i="9"/>
  <c r="I16" i="9" s="1"/>
  <c r="C15" i="9"/>
  <c r="I15" i="9" s="1"/>
  <c r="C14" i="9"/>
  <c r="I14" i="9" s="1"/>
  <c r="C11" i="9"/>
  <c r="I11" i="9" s="1"/>
  <c r="C10" i="9"/>
  <c r="I10" i="9" s="1"/>
  <c r="C9" i="9"/>
  <c r="I9" i="9" s="1"/>
  <c r="C8" i="9"/>
  <c r="I8" i="9" s="1"/>
  <c r="C7" i="9"/>
  <c r="I7" i="9" s="1"/>
  <c r="C6" i="9"/>
  <c r="I6" i="9" s="1"/>
  <c r="C5" i="9"/>
  <c r="I5" i="9" s="1"/>
  <c r="C92" i="8"/>
  <c r="H92" i="8" s="1"/>
  <c r="I83" i="8"/>
  <c r="C83" i="8"/>
  <c r="C73" i="8"/>
  <c r="I73" i="8" s="1"/>
  <c r="C62" i="8"/>
  <c r="I62" i="8" s="1"/>
  <c r="C58" i="8"/>
  <c r="I58" i="8" s="1"/>
  <c r="I57" i="8"/>
  <c r="C57" i="8"/>
  <c r="C56" i="8"/>
  <c r="I56" i="8" s="1"/>
  <c r="C55" i="8"/>
  <c r="I55" i="8" s="1"/>
  <c r="C54" i="8"/>
  <c r="I54" i="8" s="1"/>
  <c r="I53" i="8"/>
  <c r="C53" i="8"/>
  <c r="C52" i="8"/>
  <c r="I52" i="8" s="1"/>
  <c r="C51" i="8"/>
  <c r="I51" i="8" s="1"/>
  <c r="C50" i="8"/>
  <c r="I50" i="8" s="1"/>
  <c r="I49" i="8"/>
  <c r="C49" i="8"/>
  <c r="C48" i="8"/>
  <c r="I48" i="8" s="1"/>
  <c r="C44" i="8"/>
  <c r="I44" i="8" s="1"/>
  <c r="C43" i="8"/>
  <c r="I43" i="8" s="1"/>
  <c r="I42" i="8"/>
  <c r="C42" i="8"/>
  <c r="C41" i="8"/>
  <c r="I41" i="8" s="1"/>
  <c r="C40" i="8"/>
  <c r="I40" i="8" s="1"/>
  <c r="C39" i="8"/>
  <c r="I39" i="8" s="1"/>
  <c r="I28" i="8"/>
  <c r="C28" i="8"/>
  <c r="C24" i="8"/>
  <c r="I24" i="8" s="1"/>
  <c r="C23" i="8"/>
  <c r="I23" i="8" s="1"/>
  <c r="C22" i="8"/>
  <c r="I22" i="8" s="1"/>
  <c r="I21" i="8"/>
  <c r="C21" i="8"/>
  <c r="C20" i="8"/>
  <c r="I20" i="8" s="1"/>
  <c r="C19" i="8"/>
  <c r="I19" i="8" s="1"/>
  <c r="C18" i="8"/>
  <c r="I18" i="8" s="1"/>
  <c r="I17" i="8"/>
  <c r="C17" i="8"/>
  <c r="C16" i="8"/>
  <c r="I16" i="8" s="1"/>
  <c r="C15" i="8"/>
  <c r="I15" i="8" s="1"/>
  <c r="C14" i="8"/>
  <c r="I14" i="8" s="1"/>
  <c r="I11" i="8"/>
  <c r="C11" i="8"/>
  <c r="C10" i="8"/>
  <c r="I10" i="8" s="1"/>
  <c r="C9" i="8"/>
  <c r="I9" i="8" s="1"/>
  <c r="C8" i="8"/>
  <c r="I8" i="8" s="1"/>
  <c r="I7" i="8"/>
  <c r="C7" i="8"/>
  <c r="C6" i="8"/>
  <c r="I6" i="8" s="1"/>
  <c r="C5" i="8"/>
  <c r="I5" i="8" s="1"/>
  <c r="C120" i="3"/>
  <c r="H120" i="3" s="1"/>
  <c r="C119" i="3"/>
  <c r="H119" i="3" s="1"/>
  <c r="C111" i="3"/>
  <c r="G111" i="3" s="1"/>
  <c r="C110" i="3"/>
  <c r="G110" i="3" s="1"/>
  <c r="C96" i="3"/>
  <c r="H96" i="3" s="1"/>
  <c r="C88" i="3"/>
  <c r="I88" i="3" s="1"/>
  <c r="C77" i="3"/>
  <c r="I77" i="3" s="1"/>
  <c r="C76" i="3"/>
  <c r="I76" i="3" s="1"/>
  <c r="C63" i="3"/>
  <c r="I63" i="3" s="1"/>
  <c r="C59" i="3"/>
  <c r="I59" i="3" s="1"/>
  <c r="C58" i="3"/>
  <c r="I58" i="3" s="1"/>
  <c r="C57" i="3"/>
  <c r="I57" i="3" s="1"/>
  <c r="C56" i="3"/>
  <c r="I56" i="3" s="1"/>
  <c r="C55" i="3"/>
  <c r="I55" i="3" s="1"/>
  <c r="C54" i="3"/>
  <c r="I54" i="3" s="1"/>
  <c r="C53" i="3"/>
  <c r="I53" i="3" s="1"/>
  <c r="C52" i="3"/>
  <c r="I52" i="3" s="1"/>
  <c r="C51" i="3"/>
  <c r="I51" i="3" s="1"/>
  <c r="C50" i="3"/>
  <c r="I50" i="3" s="1"/>
  <c r="C49" i="3"/>
  <c r="I49" i="3" s="1"/>
  <c r="C45" i="3"/>
  <c r="I45" i="3" s="1"/>
  <c r="C44" i="3"/>
  <c r="I44" i="3" s="1"/>
  <c r="C43" i="3"/>
  <c r="I43" i="3" s="1"/>
  <c r="C42" i="3"/>
  <c r="I42" i="3" s="1"/>
  <c r="C41" i="3"/>
  <c r="I41" i="3" s="1"/>
  <c r="C40" i="3"/>
  <c r="I40" i="3" s="1"/>
  <c r="C28" i="3"/>
  <c r="I28" i="3" s="1"/>
  <c r="C24" i="3"/>
  <c r="I24" i="3" s="1"/>
  <c r="C23" i="3"/>
  <c r="I23" i="3" s="1"/>
  <c r="C22" i="3"/>
  <c r="I22" i="3" s="1"/>
  <c r="C21" i="3"/>
  <c r="I21" i="3" s="1"/>
  <c r="C20" i="3"/>
  <c r="I20" i="3" s="1"/>
  <c r="C19" i="3"/>
  <c r="I19" i="3" s="1"/>
  <c r="C18" i="3"/>
  <c r="I18" i="3" s="1"/>
  <c r="C17" i="3"/>
  <c r="I17" i="3" s="1"/>
  <c r="C16" i="3"/>
  <c r="I16" i="3" s="1"/>
  <c r="C15" i="3"/>
  <c r="I15" i="3" s="1"/>
  <c r="C14" i="3"/>
  <c r="I14" i="3" s="1"/>
  <c r="C11" i="3"/>
  <c r="I11" i="3" s="1"/>
  <c r="C10" i="3"/>
  <c r="I10" i="3" s="1"/>
  <c r="C9" i="3"/>
  <c r="I9" i="3" s="1"/>
  <c r="C8" i="3"/>
  <c r="I8" i="3" s="1"/>
  <c r="C7" i="3"/>
  <c r="I7" i="3" s="1"/>
  <c r="C6" i="3"/>
  <c r="I6" i="3" s="1"/>
  <c r="C5" i="3"/>
  <c r="I5" i="3" s="1"/>
  <c r="F81" i="11" l="1"/>
  <c r="G36" i="10"/>
  <c r="G22" i="10"/>
  <c r="G15" i="10"/>
  <c r="G19" i="10"/>
  <c r="G11" i="10"/>
  <c r="F82" i="11"/>
  <c r="F83" i="11"/>
  <c r="G12" i="10"/>
  <c r="G20" i="10"/>
  <c r="G10" i="10"/>
  <c r="G18" i="10"/>
  <c r="G35" i="10"/>
  <c r="B65" i="7"/>
  <c r="I65" i="7" s="1"/>
  <c r="B63" i="7"/>
  <c r="I63" i="7" s="1"/>
  <c r="B61" i="7"/>
  <c r="I61" i="7" s="1"/>
  <c r="B50" i="7"/>
  <c r="H50" i="7" s="1"/>
  <c r="B49" i="7"/>
  <c r="H49" i="7" s="1"/>
  <c r="B48" i="7"/>
  <c r="H48" i="7" s="1"/>
  <c r="B37" i="7"/>
  <c r="B36" i="7"/>
  <c r="B35" i="7"/>
  <c r="B34" i="7"/>
  <c r="B33" i="7"/>
  <c r="B32" i="7"/>
  <c r="B31" i="7"/>
  <c r="B20" i="7"/>
  <c r="H20" i="7" s="1"/>
  <c r="B19" i="7"/>
  <c r="H19" i="7" s="1"/>
  <c r="B18" i="7"/>
  <c r="H18" i="7" s="1"/>
  <c r="B7" i="7"/>
  <c r="B6" i="7"/>
  <c r="H6" i="7" s="1"/>
  <c r="H140" i="7"/>
  <c r="H129" i="7"/>
  <c r="H128" i="7"/>
  <c r="H127" i="7"/>
  <c r="H116" i="7"/>
  <c r="H115" i="7"/>
  <c r="F114" i="7"/>
  <c r="H103" i="7"/>
  <c r="H102" i="7"/>
  <c r="H101" i="7"/>
  <c r="H90" i="7"/>
  <c r="H89" i="7"/>
  <c r="H78" i="7"/>
  <c r="H77" i="7"/>
  <c r="F37" i="7"/>
  <c r="F36" i="7"/>
  <c r="F35" i="7"/>
  <c r="F34" i="7"/>
  <c r="F33" i="7"/>
  <c r="F32" i="7"/>
  <c r="F31" i="7"/>
  <c r="F7" i="7"/>
  <c r="B130" i="6"/>
  <c r="B118" i="6"/>
  <c r="B117" i="6"/>
  <c r="B116" i="6"/>
  <c r="B104" i="6"/>
  <c r="B103" i="6"/>
  <c r="B102" i="6"/>
  <c r="B91" i="6"/>
  <c r="B90" i="6"/>
  <c r="H35" i="7" l="1"/>
  <c r="H31" i="7"/>
  <c r="H34" i="7"/>
  <c r="H37" i="7"/>
  <c r="H114" i="7"/>
  <c r="H32" i="7"/>
  <c r="H36" i="7"/>
  <c r="H7" i="7"/>
  <c r="H33" i="7"/>
  <c r="B78" i="6" l="1"/>
  <c r="B77" i="6"/>
  <c r="I77" i="6" s="1"/>
  <c r="B65" i="6"/>
  <c r="H65" i="6" s="1"/>
  <c r="B53" i="6"/>
  <c r="H53" i="6" s="1"/>
  <c r="B52" i="6"/>
  <c r="H52" i="6" s="1"/>
  <c r="B51" i="6"/>
  <c r="H51" i="6" s="1"/>
  <c r="B39" i="6"/>
  <c r="B38" i="6"/>
  <c r="B37" i="6"/>
  <c r="B36" i="6"/>
  <c r="B35" i="6"/>
  <c r="B34" i="6"/>
  <c r="B33" i="6"/>
  <c r="B21" i="6"/>
  <c r="I21" i="6" s="1"/>
  <c r="B20" i="6"/>
  <c r="I20" i="6" s="1"/>
  <c r="B19" i="6"/>
  <c r="I19" i="6" s="1"/>
  <c r="B8" i="6"/>
  <c r="I8" i="6" s="1"/>
  <c r="B7" i="6"/>
  <c r="I7" i="6" s="1"/>
  <c r="B6" i="6"/>
  <c r="I6" i="6" s="1"/>
  <c r="H130" i="6"/>
  <c r="E118" i="6"/>
  <c r="H118" i="6" s="1"/>
  <c r="E117" i="6"/>
  <c r="H117" i="6" s="1"/>
  <c r="H116" i="6"/>
  <c r="H104" i="6"/>
  <c r="H103" i="6"/>
  <c r="H102" i="6"/>
  <c r="I91" i="6"/>
  <c r="I90" i="6"/>
  <c r="I78" i="6"/>
  <c r="E39" i="6"/>
  <c r="E38" i="6"/>
  <c r="E37" i="6"/>
  <c r="E36" i="6"/>
  <c r="E35" i="6"/>
  <c r="E34" i="6"/>
  <c r="E33" i="6"/>
  <c r="B129" i="5"/>
  <c r="H129" i="5" s="1"/>
  <c r="B118" i="5"/>
  <c r="B117" i="5"/>
  <c r="B116" i="5"/>
  <c r="H116" i="5" s="1"/>
  <c r="B115" i="5"/>
  <c r="H115" i="5" s="1"/>
  <c r="B103" i="5"/>
  <c r="H103" i="5" s="1"/>
  <c r="B104" i="5"/>
  <c r="B102" i="5"/>
  <c r="H102" i="5" s="1"/>
  <c r="B101" i="5"/>
  <c r="H101" i="5" s="1"/>
  <c r="B99" i="5"/>
  <c r="H99" i="5" s="1"/>
  <c r="B100" i="5"/>
  <c r="H100" i="5" s="1"/>
  <c r="B98" i="5"/>
  <c r="H98" i="5" s="1"/>
  <c r="B86" i="5"/>
  <c r="I86" i="5" s="1"/>
  <c r="B85" i="5"/>
  <c r="I85" i="5" s="1"/>
  <c r="B73" i="5"/>
  <c r="H73" i="5" s="1"/>
  <c r="B72" i="5"/>
  <c r="H72" i="5" s="1"/>
  <c r="B62" i="5"/>
  <c r="H62" i="5" s="1"/>
  <c r="B50" i="5"/>
  <c r="H50" i="5" s="1"/>
  <c r="B49" i="5"/>
  <c r="H49" i="5" s="1"/>
  <c r="B48" i="5"/>
  <c r="H48" i="5" s="1"/>
  <c r="B47" i="5"/>
  <c r="H47" i="5" s="1"/>
  <c r="B36" i="5"/>
  <c r="B35" i="5"/>
  <c r="B34" i="5"/>
  <c r="B33" i="5"/>
  <c r="B32" i="5"/>
  <c r="B31" i="5"/>
  <c r="B30" i="5"/>
  <c r="B20" i="5"/>
  <c r="I20" i="5" s="1"/>
  <c r="B19" i="5"/>
  <c r="I19" i="5" s="1"/>
  <c r="B18" i="5"/>
  <c r="I18" i="5" s="1"/>
  <c r="B7" i="5"/>
  <c r="I7" i="5" s="1"/>
  <c r="B6" i="5"/>
  <c r="I6" i="5" s="1"/>
  <c r="E118" i="5"/>
  <c r="E117" i="5"/>
  <c r="H104" i="5"/>
  <c r="E36" i="5"/>
  <c r="E35" i="5"/>
  <c r="E34" i="5"/>
  <c r="E33" i="5"/>
  <c r="E32" i="5"/>
  <c r="E31" i="5"/>
  <c r="E30" i="5"/>
  <c r="B120" i="4"/>
  <c r="B110" i="4"/>
  <c r="B109" i="4"/>
  <c r="B108" i="4"/>
  <c r="B107" i="4"/>
  <c r="B96" i="4"/>
  <c r="B95" i="4"/>
  <c r="B94" i="4"/>
  <c r="B93" i="4"/>
  <c r="B92" i="4"/>
  <c r="B91" i="4"/>
  <c r="B90" i="4"/>
  <c r="B79" i="4"/>
  <c r="B69" i="4"/>
  <c r="B68" i="4"/>
  <c r="B56" i="4"/>
  <c r="H36" i="6" l="1"/>
  <c r="H37" i="6"/>
  <c r="H38" i="6"/>
  <c r="H33" i="6"/>
  <c r="H39" i="6"/>
  <c r="H34" i="6"/>
  <c r="H35" i="6"/>
  <c r="H118" i="5"/>
  <c r="H117" i="5"/>
  <c r="H32" i="5"/>
  <c r="H35" i="5"/>
  <c r="H36" i="5"/>
  <c r="H31" i="5"/>
  <c r="H30" i="5"/>
  <c r="H33" i="5"/>
  <c r="H34" i="5"/>
  <c r="B45" i="4" l="1"/>
  <c r="I45" i="4" s="1"/>
  <c r="B44" i="4"/>
  <c r="I44" i="4" s="1"/>
  <c r="B43" i="4"/>
  <c r="I43" i="4" s="1"/>
  <c r="B42" i="4"/>
  <c r="I42" i="4" s="1"/>
  <c r="B33" i="4"/>
  <c r="B32" i="4"/>
  <c r="B31" i="4"/>
  <c r="B30" i="4"/>
  <c r="B29" i="4"/>
  <c r="B28" i="4"/>
  <c r="B27" i="4"/>
  <c r="B17" i="4"/>
  <c r="I17" i="4" s="1"/>
  <c r="B7" i="4"/>
  <c r="I7" i="4" s="1"/>
  <c r="B6" i="4"/>
  <c r="I6" i="4" s="1"/>
  <c r="I120" i="4"/>
  <c r="G110" i="4"/>
  <c r="I110" i="4" s="1"/>
  <c r="G109" i="4"/>
  <c r="I109" i="4" s="1"/>
  <c r="I108" i="4"/>
  <c r="I107" i="4"/>
  <c r="I96" i="4"/>
  <c r="I95" i="4"/>
  <c r="I94" i="4"/>
  <c r="I93" i="4"/>
  <c r="I92" i="4"/>
  <c r="I91" i="4"/>
  <c r="I90" i="4"/>
  <c r="I79" i="4"/>
  <c r="I69" i="4"/>
  <c r="I68" i="4"/>
  <c r="I56" i="4"/>
  <c r="G33" i="4"/>
  <c r="G32" i="4"/>
  <c r="G31" i="4"/>
  <c r="G30" i="4"/>
  <c r="G29" i="4"/>
  <c r="G28" i="4"/>
  <c r="G27" i="4"/>
  <c r="I28" i="4" l="1"/>
  <c r="I29" i="4"/>
  <c r="I32" i="4"/>
  <c r="I30" i="4"/>
  <c r="I31" i="4"/>
  <c r="I27" i="4"/>
  <c r="I33" i="4"/>
  <c r="D70" i="2" l="1"/>
  <c r="H70" i="2" s="1"/>
  <c r="D71" i="2"/>
  <c r="H71" i="2" s="1"/>
  <c r="D69" i="2"/>
  <c r="H69" i="2"/>
  <c r="D63" i="2"/>
  <c r="H63" i="2" s="1"/>
  <c r="D64" i="2"/>
  <c r="H64" i="2" s="1"/>
  <c r="D62" i="2"/>
  <c r="H62" i="2" s="1"/>
  <c r="D56" i="2"/>
  <c r="H56" i="2" s="1"/>
  <c r="D57" i="2"/>
  <c r="H57" i="2" s="1"/>
  <c r="D55" i="2"/>
  <c r="H55" i="2" s="1"/>
  <c r="D49" i="2"/>
  <c r="H49" i="2" s="1"/>
  <c r="D50" i="2"/>
  <c r="H50" i="2" s="1"/>
  <c r="D48" i="2"/>
  <c r="H48" i="2" s="1"/>
  <c r="D43" i="2"/>
  <c r="H43" i="2" s="1"/>
  <c r="D44" i="2"/>
  <c r="H44" i="2" s="1"/>
  <c r="D42" i="2"/>
  <c r="H42" i="2" s="1"/>
  <c r="D31" i="2"/>
  <c r="H31" i="2" s="1"/>
  <c r="D32" i="2"/>
  <c r="H32" i="2" s="1"/>
  <c r="D30" i="2"/>
  <c r="H30" i="2" s="1"/>
  <c r="D25" i="2"/>
  <c r="H25" i="2" s="1"/>
  <c r="D26" i="2"/>
  <c r="H26" i="2" s="1"/>
  <c r="D24" i="2"/>
  <c r="H24" i="2" s="1"/>
  <c r="D19" i="2"/>
  <c r="H19" i="2" s="1"/>
  <c r="D20" i="2"/>
  <c r="H20" i="2" s="1"/>
  <c r="D18" i="2"/>
  <c r="H18" i="2" s="1"/>
  <c r="D13" i="2"/>
  <c r="H13" i="2" s="1"/>
  <c r="D14" i="2"/>
  <c r="H14" i="2" s="1"/>
  <c r="D12" i="2"/>
  <c r="H12" i="2" s="1"/>
  <c r="D7" i="2"/>
  <c r="H7" i="2" s="1"/>
  <c r="D8" i="2"/>
  <c r="H8" i="2" s="1"/>
  <c r="D6" i="2"/>
  <c r="H6" i="2" s="1"/>
  <c r="C122" i="1"/>
  <c r="I122" i="1" s="1"/>
  <c r="C121" i="1"/>
  <c r="I121" i="1" s="1"/>
  <c r="C112" i="1"/>
  <c r="H112" i="1" s="1"/>
  <c r="C111" i="1"/>
  <c r="H111" i="1" s="1"/>
  <c r="C99" i="1"/>
  <c r="I99" i="1" s="1"/>
  <c r="C91" i="1"/>
  <c r="J91" i="1" s="1"/>
  <c r="C81" i="1"/>
  <c r="J81" i="1" s="1"/>
  <c r="C80" i="1"/>
  <c r="J80" i="1" s="1"/>
  <c r="C70" i="1"/>
  <c r="J70" i="1" s="1"/>
  <c r="C64" i="1"/>
  <c r="J64" i="1" s="1"/>
  <c r="C63" i="1"/>
  <c r="J63" i="1" s="1"/>
  <c r="C62" i="1"/>
  <c r="J62" i="1" s="1"/>
  <c r="C61" i="1"/>
  <c r="J61" i="1" s="1"/>
  <c r="C60" i="1"/>
  <c r="J60" i="1" s="1"/>
  <c r="C59" i="1"/>
  <c r="C58" i="1"/>
  <c r="J58" i="1" s="1"/>
  <c r="C57" i="1"/>
  <c r="J57" i="1" s="1"/>
  <c r="C56" i="1"/>
  <c r="J56" i="1" s="1"/>
  <c r="C55" i="1"/>
  <c r="J55" i="1" s="1"/>
  <c r="C54" i="1"/>
  <c r="J54" i="1" s="1"/>
  <c r="C53" i="1"/>
  <c r="J53" i="1" s="1"/>
  <c r="C44" i="1"/>
  <c r="J44" i="1" s="1"/>
  <c r="C45" i="1"/>
  <c r="J45" i="1" s="1"/>
  <c r="C46" i="1"/>
  <c r="J46" i="1" s="1"/>
  <c r="C47" i="1"/>
  <c r="J47" i="1" s="1"/>
  <c r="C48" i="1"/>
  <c r="J48" i="1" s="1"/>
  <c r="C49" i="1"/>
  <c r="J49" i="1" s="1"/>
  <c r="C43" i="1"/>
  <c r="J43" i="1" s="1"/>
  <c r="C32" i="1"/>
  <c r="J32" i="1" s="1"/>
  <c r="C28" i="1"/>
  <c r="J28" i="1" s="1"/>
  <c r="C27" i="1"/>
  <c r="J27" i="1" s="1"/>
  <c r="C26" i="1"/>
  <c r="J26" i="1" s="1"/>
  <c r="C25" i="1"/>
  <c r="J25" i="1" s="1"/>
  <c r="C24" i="1"/>
  <c r="J24" i="1" s="1"/>
  <c r="C23" i="1"/>
  <c r="J23" i="1" s="1"/>
  <c r="C22" i="1"/>
  <c r="J22" i="1" s="1"/>
  <c r="C21" i="1"/>
  <c r="J21" i="1" s="1"/>
  <c r="C20" i="1"/>
  <c r="J20" i="1" s="1"/>
  <c r="C19" i="1"/>
  <c r="C18" i="1"/>
  <c r="J18" i="1" s="1"/>
  <c r="C17" i="1"/>
  <c r="J17" i="1" s="1"/>
  <c r="C16" i="1"/>
  <c r="J16" i="1" s="1"/>
  <c r="C6" i="1"/>
  <c r="J6" i="1" s="1"/>
  <c r="C7" i="1"/>
  <c r="J7" i="1" s="1"/>
  <c r="C8" i="1"/>
  <c r="J8" i="1" s="1"/>
  <c r="C9" i="1"/>
  <c r="J9" i="1" s="1"/>
  <c r="C10" i="1"/>
  <c r="J10" i="1" s="1"/>
  <c r="C11" i="1"/>
  <c r="J11" i="1" s="1"/>
  <c r="C12" i="1"/>
  <c r="J12" i="1" s="1"/>
  <c r="C5" i="1"/>
  <c r="J5" i="1" s="1"/>
  <c r="J59" i="1"/>
  <c r="H19" i="1"/>
  <c r="J19" i="1" l="1"/>
</calcChain>
</file>

<file path=xl/sharedStrings.xml><?xml version="1.0" encoding="utf-8"?>
<sst xmlns="http://schemas.openxmlformats.org/spreadsheetml/2006/main" count="1818" uniqueCount="276">
  <si>
    <t>SCHOOL FEES PER SEMESTER 2025/2026</t>
  </si>
  <si>
    <t>GHANAIAN STUDENTS – UNDERGRADUATE</t>
  </si>
  <si>
    <t>PROGRAMME</t>
  </si>
  <si>
    <t>SCHOOL FEES</t>
  </si>
  <si>
    <t>SRC</t>
  </si>
  <si>
    <t xml:space="preserve">HALL DUES </t>
  </si>
  <si>
    <t>HOSPITAL CARE</t>
  </si>
  <si>
    <t>MEDICAL EXAMS</t>
  </si>
  <si>
    <t>FIELD TRIP</t>
  </si>
  <si>
    <t>STUDENT SUPPORT</t>
  </si>
  <si>
    <t>TOTAL</t>
  </si>
  <si>
    <t>CBS</t>
  </si>
  <si>
    <t>GHC</t>
  </si>
  <si>
    <t>HRM (Freshers)</t>
  </si>
  <si>
    <t>Banking &amp; Finance (Freshers)</t>
  </si>
  <si>
    <t>Accounting (Freshers)</t>
  </si>
  <si>
    <t>Marketing (Freshers)</t>
  </si>
  <si>
    <t>Management Studeies (Freshers)</t>
  </si>
  <si>
    <t>Freshers Agribusiness (L 100)</t>
  </si>
  <si>
    <t>Freshers Agribusiness (L 200 &amp; 300)</t>
  </si>
  <si>
    <t>BSC AGRIC ECONS ( Freshers )</t>
  </si>
  <si>
    <t>FASS</t>
  </si>
  <si>
    <t>Economics ( Freshers )</t>
  </si>
  <si>
    <t xml:space="preserve"> </t>
  </si>
  <si>
    <t>English ( Freshers )</t>
  </si>
  <si>
    <t>French ( Freshers )</t>
  </si>
  <si>
    <t>Environ.&amp; Dev.Studies(Freshers)</t>
  </si>
  <si>
    <t>Communication Studies (Freshers)</t>
  </si>
  <si>
    <t>Pscychology ( Freshers )</t>
  </si>
  <si>
    <t>Sociology ( Freshers )</t>
  </si>
  <si>
    <t>Social Work ( Freshers )</t>
  </si>
  <si>
    <t>Theology ( Freshers )</t>
  </si>
  <si>
    <t>Family Counseling ( Freshers )</t>
  </si>
  <si>
    <t>Church Administration ( Freshers)</t>
  </si>
  <si>
    <t>BACHELOR OF DIVINITY ( Freshers )</t>
  </si>
  <si>
    <t>B.Ed Social Studies (Freshers)</t>
  </si>
  <si>
    <t>LAW</t>
  </si>
  <si>
    <t xml:space="preserve"> SCHOOL FEES PER SEMESTER 2025/2026</t>
  </si>
  <si>
    <t>INTERNATIONAL STUDENTS – UNDERGRADUATE</t>
  </si>
  <si>
    <t>USD</t>
  </si>
  <si>
    <t>Human Resource Mgt  (Freshers )</t>
  </si>
  <si>
    <t>Banking &amp; Finance ( Freshers )</t>
  </si>
  <si>
    <t>Accounting ( Freshers )</t>
  </si>
  <si>
    <t>Marketing ( Freshers )</t>
  </si>
  <si>
    <t>Management Studies ( Freshers )</t>
  </si>
  <si>
    <t>Agribusiness ( Freshers L100 )</t>
  </si>
  <si>
    <t>Agribusiness (Freshers L200 &amp; L300)</t>
  </si>
  <si>
    <t>Economics (Freshers)</t>
  </si>
  <si>
    <t>French ( Freshers)</t>
  </si>
  <si>
    <t>Environ. &amp; Dev. Stud. ( Freshers )</t>
  </si>
  <si>
    <t>Comm. Studies ( Freshers )</t>
  </si>
  <si>
    <t>B.Ed Social Studies (Freshers) (GHC)</t>
  </si>
  <si>
    <t xml:space="preserve">KUMASI CAMPUS </t>
  </si>
  <si>
    <t>THEOLOGY</t>
  </si>
  <si>
    <t>DISTANCE EDUCATION (ONLINE) - GHANAIAN STUDENTS</t>
  </si>
  <si>
    <t>DISTANCE EDUCATION (ONLINE) - INTERNATIONAL STUDENTS</t>
  </si>
  <si>
    <t>DIPLOMA PROGRAMMES</t>
  </si>
  <si>
    <t>GHANAIAN STUDENTS</t>
  </si>
  <si>
    <t>SRC/ HALL DUES</t>
  </si>
  <si>
    <t>Diploma in Law (2yrs)</t>
  </si>
  <si>
    <t>Diploma in Paralegal Studies (1.5yrs)</t>
  </si>
  <si>
    <t>INTERNATIONAL STUDENTS (USD)</t>
  </si>
  <si>
    <t>AWARD IN TRAINING AND HIGHER EDUCATION</t>
  </si>
  <si>
    <t>Diploma In Business Management (LEVEL 3)</t>
  </si>
  <si>
    <t xml:space="preserve">Diploma In Information And Digital Technologies (LEVEL 3) </t>
  </si>
  <si>
    <t>Diploma In Health And Social Care (LEVEL 3)</t>
  </si>
  <si>
    <t>Diploma In Business Management (LEVEL 4)</t>
  </si>
  <si>
    <t xml:space="preserve">Diploma In Information And Digital Technologies (LEVEL 4) </t>
  </si>
  <si>
    <t>Diploma In Health And Social Care (LEVEL 4)</t>
  </si>
  <si>
    <t>Diploma In Business Management (LEVEL 5)</t>
  </si>
  <si>
    <t xml:space="preserve">Diploma In Information And Digital Technologies (LEVEL 5) </t>
  </si>
  <si>
    <t>Diploma In Health And Social Care (LEVEL 5)</t>
  </si>
  <si>
    <t>Diploma In Business Management (LEVEL 6)</t>
  </si>
  <si>
    <t xml:space="preserve">Diploma In Information And Digital Technologies (LEVEL 6) </t>
  </si>
  <si>
    <t>Diploma In Health And Social Care (LEVEL 6)</t>
  </si>
  <si>
    <t>Diploma In Business Management (LEVEL 7)</t>
  </si>
  <si>
    <t xml:space="preserve">Diploma In Information And Digital Technologies (LEVEL 7) </t>
  </si>
  <si>
    <t>Diploma In Health And Social Care (LEVEL 7)</t>
  </si>
  <si>
    <t>INTERNATIONAL STUDENTS</t>
  </si>
  <si>
    <t xml:space="preserve">HRM </t>
  </si>
  <si>
    <t xml:space="preserve">Banking &amp; Finance </t>
  </si>
  <si>
    <t xml:space="preserve">Accounting </t>
  </si>
  <si>
    <t>Marketing</t>
  </si>
  <si>
    <t>Management Studeies</t>
  </si>
  <si>
    <t xml:space="preserve">Agribusiness </t>
  </si>
  <si>
    <t>Economics</t>
  </si>
  <si>
    <t xml:space="preserve">English </t>
  </si>
  <si>
    <t xml:space="preserve">French </t>
  </si>
  <si>
    <t xml:space="preserve">Environ.&amp; Dev.Studies </t>
  </si>
  <si>
    <t xml:space="preserve">Communication Studies </t>
  </si>
  <si>
    <t xml:space="preserve">Pscychology </t>
  </si>
  <si>
    <t xml:space="preserve">Sociology </t>
  </si>
  <si>
    <t xml:space="preserve">Social Work </t>
  </si>
  <si>
    <t xml:space="preserve">Theology </t>
  </si>
  <si>
    <t xml:space="preserve">Family Counseling </t>
  </si>
  <si>
    <t xml:space="preserve">Church Administration </t>
  </si>
  <si>
    <t>FACULTY OF LAW</t>
  </si>
  <si>
    <t>L 200</t>
  </si>
  <si>
    <t xml:space="preserve"> LEVEL 200</t>
  </si>
  <si>
    <t xml:space="preserve"> (L200)</t>
  </si>
  <si>
    <t>INTERNATIONAL STUDENTS (BILLS IN GHC)</t>
  </si>
  <si>
    <t>SCHOOL FEES PER SEMESTER – UNDERGRADUATE - 2025/2026</t>
  </si>
  <si>
    <t xml:space="preserve">SCHOOL OF MEDICINE AND HEALTH SCIENCES - GHANAIAN STUDENTS </t>
  </si>
  <si>
    <t>FRESH STUDENTS</t>
  </si>
  <si>
    <t>HALL DUES</t>
  </si>
  <si>
    <t>PRACTICALS/CLERKSHIP/OTHERS</t>
  </si>
  <si>
    <t>Public Health</t>
  </si>
  <si>
    <t>Physician Assistantship</t>
  </si>
  <si>
    <t xml:space="preserve">SCHOOL OF NURSING AND MIDWIFERY- GHANAIAN STUDENTS </t>
  </si>
  <si>
    <t>Nursing (Generic)</t>
  </si>
  <si>
    <t xml:space="preserve">SCHOOL OF ARCHITECTURE AND DESIGN - GHANAIAN STUDENTS </t>
  </si>
  <si>
    <t>Architecture</t>
  </si>
  <si>
    <t>Planning</t>
  </si>
  <si>
    <t>Real Estate</t>
  </si>
  <si>
    <t>Landscape Design</t>
  </si>
  <si>
    <t>Interior Design</t>
  </si>
  <si>
    <t>Graphic Design</t>
  </si>
  <si>
    <t>Fashion Design</t>
  </si>
  <si>
    <t xml:space="preserve">SCHOOL OF ENGINEERING AND TECHNOLOGY - GHANAIAN STUDENTS </t>
  </si>
  <si>
    <t>Civil Engineering</t>
  </si>
  <si>
    <t>Environmental Engineering</t>
  </si>
  <si>
    <t>Information Technology</t>
  </si>
  <si>
    <t>Computer Science</t>
  </si>
  <si>
    <t xml:space="preserve">SCHOOL OF PHARMACY - GHANAIAN STUDENTS </t>
  </si>
  <si>
    <t>Doctor of Pharmacy</t>
  </si>
  <si>
    <t xml:space="preserve">SCHOOL OF MEDICINE AND HEALTH SCIENCES - INTERNATIONAL STUDENTS </t>
  </si>
  <si>
    <t xml:space="preserve">SCHOOL OF NURSING AND MIDWIFERY- INTERNATIONAL STUDENTS </t>
  </si>
  <si>
    <t xml:space="preserve">SCHOOL OF ARCHITECTURE AND DESIGN - INTERNATIONAL STUDENTS </t>
  </si>
  <si>
    <t xml:space="preserve">      SCHOOL FEES PER SEMESTER – UNDERGRADUATE - 2025/2026</t>
  </si>
  <si>
    <t xml:space="preserve">SCHOOL OF ENGINEERING AND TECHNOLOGY - INTERNATIONAL STUDENTS </t>
  </si>
  <si>
    <t xml:space="preserve"> SCHOOL FEES PER SEMESTER – UNDERGRADUATE - 2025/2026</t>
  </si>
  <si>
    <t xml:space="preserve">SCHOOL OF PHARMACY  - INTERNATIONAL STUDENTS </t>
  </si>
  <si>
    <t>Nursing Professional RGN Through Access Course  (Freshers) (NAC)</t>
  </si>
  <si>
    <t>Nursing (Generic) Through Access Course (Freshers) (NAC)</t>
  </si>
  <si>
    <t>PRACTICALS/CLERKSHIP/OTHERS/ CLINICALS</t>
  </si>
  <si>
    <t>Medical Exams</t>
  </si>
  <si>
    <t>Nursing (Generic) Through Access Course - Freshers</t>
  </si>
  <si>
    <t xml:space="preserve"> SCHOOL FEES PER SEMESTER – UNDERGRADUATE - 2025/26</t>
  </si>
  <si>
    <t>L 300</t>
  </si>
  <si>
    <t>Public Health (Freshers)</t>
  </si>
  <si>
    <t>Nursing Professional RGN (Freshers)</t>
  </si>
  <si>
    <t>Nursing Professional RGN Through Access Course(Freshers) (NAC)</t>
  </si>
  <si>
    <t xml:space="preserve"> SCHOOL FEES PER SEMESTER – UNDERGRADUATE - 2025/24</t>
  </si>
  <si>
    <t>Nursing Professional RGN (300)(Freshers)</t>
  </si>
  <si>
    <t xml:space="preserve"> L 400</t>
  </si>
  <si>
    <t xml:space="preserve">Nursing Professional RGN </t>
  </si>
  <si>
    <t>Nursing Professional RGN Through Access Course</t>
  </si>
  <si>
    <t xml:space="preserve"> L 400 &amp; 500</t>
  </si>
  <si>
    <t>Architecture L 400 &amp; L 500</t>
  </si>
  <si>
    <t>L 400</t>
  </si>
  <si>
    <t xml:space="preserve"> L 400 &amp; L 500 &amp; L600</t>
  </si>
  <si>
    <t xml:space="preserve">MEDICAL EXAMS </t>
  </si>
  <si>
    <t xml:space="preserve"> L 500 </t>
  </si>
  <si>
    <t>Doctor of Pharmacy (TOP -UP)(Freshers)</t>
  </si>
  <si>
    <t xml:space="preserve"> L 600 </t>
  </si>
  <si>
    <t>Doctor of Pharmacy (TOP -UP)</t>
  </si>
  <si>
    <t>Nursing Professional RGN (400)</t>
  </si>
  <si>
    <t>LEVEL 400</t>
  </si>
  <si>
    <t>LEVEL 500</t>
  </si>
  <si>
    <t xml:space="preserve"> L 400 &amp; L 500 &amp; L 600</t>
  </si>
  <si>
    <t>HRM (Level 300)</t>
  </si>
  <si>
    <t>Banking &amp; Finance (Level 300)</t>
  </si>
  <si>
    <t>Accounting (L 300)</t>
  </si>
  <si>
    <t>Marketing ( L 300)</t>
  </si>
  <si>
    <t>Management Studeies (L 300)</t>
  </si>
  <si>
    <t>Agribusiness (L 300)</t>
  </si>
  <si>
    <t>BSC AGRIC ECONS ( L 300 )</t>
  </si>
  <si>
    <t>Economics ( L 300 )</t>
  </si>
  <si>
    <t>English ( L 300 )</t>
  </si>
  <si>
    <t>French ( L 300 )</t>
  </si>
  <si>
    <t>Environ.&amp; Dev.Studies( L 300)</t>
  </si>
  <si>
    <t>Communication Studies ( L 300)</t>
  </si>
  <si>
    <t>Pscychology ( L 300 )</t>
  </si>
  <si>
    <t>Sociology ( L 300 )</t>
  </si>
  <si>
    <t>Social Work ( L 300 )</t>
  </si>
  <si>
    <t>Theology ( L 300 )</t>
  </si>
  <si>
    <t>Family Counseling ( L 300 )</t>
  </si>
  <si>
    <t>Church Administration ( L 300)</t>
  </si>
  <si>
    <t>Freshers (L 300)</t>
  </si>
  <si>
    <t xml:space="preserve"> ( L 300 )</t>
  </si>
  <si>
    <t>SCHOOL FEES PER SEMESTER 2025/26</t>
  </si>
  <si>
    <t xml:space="preserve"> SCHOOL FEES PER SEMESTER 2025/26</t>
  </si>
  <si>
    <t>LEVEL 300</t>
  </si>
  <si>
    <t>HRM (L400)</t>
  </si>
  <si>
    <t>Banking &amp; Finance (L400)</t>
  </si>
  <si>
    <t>Accounting (L400)</t>
  </si>
  <si>
    <t>Marketing (L400)</t>
  </si>
  <si>
    <t>Management Studies (L 400)</t>
  </si>
  <si>
    <t>Agribusiness ( L 400 )</t>
  </si>
  <si>
    <t>BSC AGRIC ECONS ( L 400 )</t>
  </si>
  <si>
    <t>Economics (L 400)</t>
  </si>
  <si>
    <t>English (L 400)</t>
  </si>
  <si>
    <t>French (L 400)</t>
  </si>
  <si>
    <t>Environ.&amp; Dev.Studies(L400)</t>
  </si>
  <si>
    <t>Communication Studies (L400)</t>
  </si>
  <si>
    <t>Pscychology (L 400)</t>
  </si>
  <si>
    <t>Sociology (L 400 )</t>
  </si>
  <si>
    <t>Social Work (L 400)</t>
  </si>
  <si>
    <t>Theology (L 400 )</t>
  </si>
  <si>
    <t>Family Counseling (L 400 )</t>
  </si>
  <si>
    <t>Church Administration ( L400)</t>
  </si>
  <si>
    <t>Bachelor of Law (L 400)</t>
  </si>
  <si>
    <t>HRM (Level 400)</t>
  </si>
  <si>
    <t>Banking &amp; Finance (Level 400)</t>
  </si>
  <si>
    <t>Accounting (L 400)</t>
  </si>
  <si>
    <t>Marketing ( L 400)</t>
  </si>
  <si>
    <t>Management Studeies (L 400)</t>
  </si>
  <si>
    <t>Agribusiness (L 400)</t>
  </si>
  <si>
    <t>Economics ( L 400 )</t>
  </si>
  <si>
    <t>English ( L 400 )</t>
  </si>
  <si>
    <t>French ( L 400 )</t>
  </si>
  <si>
    <t>Environ.&amp; Dev.Studies( L 400)</t>
  </si>
  <si>
    <t>Communication Studies ( L 400)</t>
  </si>
  <si>
    <t>Pscychology ( L 400 )</t>
  </si>
  <si>
    <t>Sociology ( L 400 )</t>
  </si>
  <si>
    <t>Social Work ( L 400 )</t>
  </si>
  <si>
    <t>Theology ( L 400 )</t>
  </si>
  <si>
    <t>Family Counseling ( L 400 )</t>
  </si>
  <si>
    <t>Church Administration ( L 400)</t>
  </si>
  <si>
    <t>Bachelor of Law ( L 400)</t>
  </si>
  <si>
    <t xml:space="preserve"> SCHOOL FEES PER PROGRAMME - 2025/2026</t>
  </si>
  <si>
    <t xml:space="preserve">SCHOOL OF GRADUATE STUDIES </t>
  </si>
  <si>
    <t>LEVEL  500</t>
  </si>
  <si>
    <t>GRASAG DUES</t>
  </si>
  <si>
    <t>SCHOOL FEES PER SEMESTER</t>
  </si>
  <si>
    <t xml:space="preserve">NOTE: </t>
  </si>
  <si>
    <t>MBA (EVENING &amp; WEEKEND)</t>
  </si>
  <si>
    <t>MEDICAL EXAMS FEE OF GHC 220.00 TO BE PAID ONLY IN THE FIRST SEMESTER</t>
  </si>
  <si>
    <t>MBA ( ALUMNUS)</t>
  </si>
  <si>
    <t>MPHIL ECONOMICS</t>
  </si>
  <si>
    <t>MPHIL ECONOMICS (ALUMNUS)</t>
  </si>
  <si>
    <t>MSC (MARKETING RESEARCH)</t>
  </si>
  <si>
    <t>MSC(MARKETING RESEARCH/ALUMNUS)</t>
  </si>
  <si>
    <t>MA ( RELIGIOUS STUDIES)</t>
  </si>
  <si>
    <t>MA ( RELIGIOUS STUDIES/ALUMNUS)</t>
  </si>
  <si>
    <t>MPHIL ( RELIGIOUS STUDIES/THEOLOGY)</t>
  </si>
  <si>
    <t>MPHIL ( RELIGIOUS STUDIES/ALUMNUS)</t>
  </si>
  <si>
    <t>EMLG</t>
  </si>
  <si>
    <t>EMLG (ALUMNUS)</t>
  </si>
  <si>
    <t>MPHIL EDUCATION</t>
  </si>
  <si>
    <t>POST GRAD DIP IN EDUCATION (PGDE)</t>
  </si>
  <si>
    <t>MA EDUCATION</t>
  </si>
  <si>
    <t>MBA (18MONTHS MKT &amp; AGB)</t>
  </si>
  <si>
    <t>MA SACRED MINISTRY</t>
  </si>
  <si>
    <t>Master Of Public Health (MPH) Sem 1</t>
  </si>
  <si>
    <t>SEM 1</t>
  </si>
  <si>
    <t>Sem2</t>
  </si>
  <si>
    <t>SEM 2</t>
  </si>
  <si>
    <t>Sem3</t>
  </si>
  <si>
    <t>SEM 3</t>
  </si>
  <si>
    <t>M.A Educational Leadership and Admin (1yr)</t>
  </si>
  <si>
    <t>M.Phil Educational Leadership and Admin (2yrs)</t>
  </si>
  <si>
    <t>M.Phil. Development Policy</t>
  </si>
  <si>
    <t>MBA Project Management (1.5 yrs)</t>
  </si>
  <si>
    <t>MA Development Policy (1yr)</t>
  </si>
  <si>
    <t>MPHIL ( Guidance and Counselling)</t>
  </si>
  <si>
    <t>MPHIL COMM. STUDS.</t>
  </si>
  <si>
    <t>MA COMM. STUDS.</t>
  </si>
  <si>
    <t>MSC ACCOUNTING</t>
  </si>
  <si>
    <t>MPHIL ACCOUNTING</t>
  </si>
  <si>
    <t>PHD IN FINANCE</t>
  </si>
  <si>
    <t>MBA ( EVENING &amp; WEEKEND)</t>
  </si>
  <si>
    <t>MBA (ALUMNUS)</t>
  </si>
  <si>
    <t>MA ( RELIGIOUS STUDIES) ALUMNI</t>
  </si>
  <si>
    <t>MPHIL ( RELIGIOUS STUDIES)</t>
  </si>
  <si>
    <t>MSC (MARKETING RESEARCH) ALUMNI</t>
  </si>
  <si>
    <t>Master Of Public Health (MPH)</t>
  </si>
  <si>
    <t>KUMASI CAMPUS</t>
  </si>
  <si>
    <t>SCHOOL FEES/SEM</t>
  </si>
  <si>
    <t>SCHOOL FEES FOR 1ST YEAR/SEMESTER</t>
  </si>
  <si>
    <t>NOTE:</t>
  </si>
  <si>
    <t xml:space="preserve">MBA </t>
  </si>
  <si>
    <t>MA RELIGIOUS STUDIES</t>
  </si>
  <si>
    <t>MPHIL RELIGIOUS STUDIES</t>
  </si>
  <si>
    <t>LEVEL  600</t>
  </si>
  <si>
    <t>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</si>
</sst>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u/>
      <sz val="13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  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1" applyNumberFormat="1" applyFont="1"/>
    <xf numFmtId="0" fontId="9" fillId="0" borderId="0" xfId="0" applyFont="1" applyAlignment="1">
      <alignment horizontal="center" vertical="center"/>
    </xf>
    <xf numFmtId="43" fontId="4" fillId="0" borderId="0" xfId="1" applyFont="1"/>
    <xf numFmtId="0" fontId="4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 vertical="center"/>
    </xf>
    <xf numFmtId="165" fontId="4" fillId="0" borderId="0" xfId="0" applyNumberFormat="1" applyFont="1"/>
    <xf numFmtId="4" fontId="4" fillId="0" borderId="0" xfId="0" applyNumberFormat="1" applyFont="1"/>
    <xf numFmtId="43" fontId="9" fillId="0" borderId="0" xfId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6" fontId="9" fillId="0" borderId="0" xfId="1" applyNumberFormat="1" applyFont="1" applyAlignment="1">
      <alignment horizontal="center" vertical="center"/>
    </xf>
    <xf numFmtId="3" fontId="4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165" fontId="10" fillId="0" borderId="0" xfId="1" applyNumberFormat="1" applyFont="1"/>
    <xf numFmtId="0" fontId="10" fillId="0" borderId="0" xfId="0" applyFont="1" applyAlignment="1">
      <alignment horizontal="center" vertical="center"/>
    </xf>
    <xf numFmtId="166" fontId="10" fillId="0" borderId="0" xfId="1" applyNumberFormat="1" applyFont="1" applyAlignment="1">
      <alignment horizontal="center" vertical="center"/>
    </xf>
    <xf numFmtId="3" fontId="11" fillId="0" borderId="0" xfId="0" applyNumberFormat="1" applyFont="1"/>
    <xf numFmtId="43" fontId="11" fillId="0" borderId="0" xfId="1" applyFont="1"/>
    <xf numFmtId="43" fontId="10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/>
    </xf>
    <xf numFmtId="0" fontId="9" fillId="0" borderId="0" xfId="1" applyNumberFormat="1" applyFont="1" applyAlignment="1">
      <alignment horizontal="center"/>
    </xf>
    <xf numFmtId="0" fontId="10" fillId="0" borderId="0" xfId="1" applyNumberFormat="1" applyFont="1" applyAlignment="1">
      <alignment horizontal="center" vertical="center"/>
    </xf>
    <xf numFmtId="4" fontId="11" fillId="0" borderId="0" xfId="0" applyNumberFormat="1" applyFont="1"/>
    <xf numFmtId="0" fontId="4" fillId="0" borderId="0" xfId="0" applyFont="1" applyAlignment="1">
      <alignment vertical="center"/>
    </xf>
    <xf numFmtId="0" fontId="12" fillId="0" borderId="0" xfId="0" applyFont="1"/>
    <xf numFmtId="0" fontId="8" fillId="0" borderId="0" xfId="0" applyFont="1"/>
    <xf numFmtId="0" fontId="9" fillId="0" borderId="0" xfId="0" applyFont="1"/>
    <xf numFmtId="165" fontId="4" fillId="0" borderId="0" xfId="1" applyNumberFormat="1" applyFont="1" applyBorder="1" applyAlignment="1"/>
    <xf numFmtId="165" fontId="6" fillId="0" borderId="0" xfId="1" applyNumberFormat="1" applyFont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3" fontId="4" fillId="0" borderId="0" xfId="1" applyFont="1" applyBorder="1" applyAlignment="1"/>
    <xf numFmtId="43" fontId="4" fillId="0" borderId="0" xfId="1" applyFont="1" applyFill="1" applyBorder="1" applyAlignment="1"/>
    <xf numFmtId="165" fontId="4" fillId="0" borderId="0" xfId="0" applyNumberFormat="1" applyFont="1" applyAlignment="1">
      <alignment horizontal="center"/>
    </xf>
    <xf numFmtId="165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4" fillId="0" borderId="0" xfId="0" applyNumberFormat="1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4" fillId="0" borderId="0" xfId="1" applyNumberFormat="1" applyFont="1"/>
    <xf numFmtId="165" fontId="6" fillId="0" borderId="0" xfId="0" applyNumberFormat="1" applyFont="1"/>
    <xf numFmtId="43" fontId="5" fillId="0" borderId="0" xfId="1" applyFont="1" applyAlignment="1">
      <alignment horizontal="center" vertical="center" wrapText="1"/>
    </xf>
    <xf numFmtId="43" fontId="14" fillId="0" borderId="0" xfId="1" applyFont="1" applyAlignment="1">
      <alignment horizontal="center"/>
    </xf>
    <xf numFmtId="165" fontId="6" fillId="0" borderId="0" xfId="1" applyNumberFormat="1" applyFont="1"/>
    <xf numFmtId="0" fontId="3" fillId="0" borderId="0" xfId="0" applyFont="1" applyAlignment="1">
      <alignment vertical="center"/>
    </xf>
    <xf numFmtId="43" fontId="0" fillId="0" borderId="0" xfId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43" fontId="19" fillId="0" borderId="0" xfId="1" applyFont="1"/>
    <xf numFmtId="3" fontId="19" fillId="0" borderId="0" xfId="0" applyNumberFormat="1" applyFont="1"/>
    <xf numFmtId="4" fontId="19" fillId="0" borderId="0" xfId="0" applyNumberFormat="1" applyFont="1"/>
    <xf numFmtId="4" fontId="0" fillId="0" borderId="0" xfId="0" applyNumberFormat="1"/>
    <xf numFmtId="0" fontId="20" fillId="0" borderId="0" xfId="0" applyFont="1"/>
    <xf numFmtId="43" fontId="21" fillId="0" borderId="0" xfId="1" applyFont="1"/>
    <xf numFmtId="0" fontId="22" fillId="0" borderId="0" xfId="0" applyFont="1" applyAlignment="1">
      <alignment horizontal="center"/>
    </xf>
    <xf numFmtId="165" fontId="0" fillId="0" borderId="0" xfId="1" applyNumberFormat="1" applyFont="1"/>
    <xf numFmtId="165" fontId="2" fillId="0" borderId="0" xfId="0" applyNumberFormat="1" applyFont="1"/>
    <xf numFmtId="165" fontId="0" fillId="0" borderId="0" xfId="0" applyNumberFormat="1"/>
    <xf numFmtId="0" fontId="0" fillId="0" borderId="0" xfId="1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23" fillId="0" borderId="0" xfId="0" applyFont="1"/>
    <xf numFmtId="3" fontId="10" fillId="0" borderId="0" xfId="0" applyNumberFormat="1" applyFont="1" applyAlignment="1">
      <alignment horizontal="center" vertical="center"/>
    </xf>
    <xf numFmtId="0" fontId="0" fillId="0" borderId="0" xfId="1" applyNumberFormat="1" applyFont="1"/>
    <xf numFmtId="0" fontId="22" fillId="0" borderId="0" xfId="0" applyFont="1"/>
    <xf numFmtId="165" fontId="0" fillId="0" borderId="0" xfId="1" applyNumberFormat="1" applyFont="1" applyBorder="1" applyAlignment="1"/>
    <xf numFmtId="43" fontId="0" fillId="0" borderId="0" xfId="1" applyFont="1" applyAlignment="1">
      <alignment horizontal="center"/>
    </xf>
    <xf numFmtId="166" fontId="0" fillId="0" borderId="0" xfId="0" applyNumberFormat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1" applyFont="1" applyBorder="1" applyAlignment="1"/>
    <xf numFmtId="43" fontId="0" fillId="0" borderId="0" xfId="1" applyFont="1" applyFill="1" applyBorder="1" applyAlignment="1"/>
    <xf numFmtId="0" fontId="0" fillId="0" borderId="0" xfId="1" applyNumberFormat="1" applyFont="1" applyFill="1" applyBorder="1" applyAlignment="1"/>
    <xf numFmtId="1" fontId="0" fillId="0" borderId="0" xfId="0" applyNumberFormat="1"/>
    <xf numFmtId="43" fontId="18" fillId="0" borderId="0" xfId="1" applyFont="1" applyAlignment="1">
      <alignment horizontal="center"/>
    </xf>
    <xf numFmtId="165" fontId="23" fillId="0" borderId="0" xfId="1" applyNumberFormat="1" applyFont="1"/>
    <xf numFmtId="165" fontId="2" fillId="0" borderId="0" xfId="1" applyNumberFormat="1" applyFont="1"/>
    <xf numFmtId="0" fontId="3" fillId="0" borderId="0" xfId="0" applyFont="1"/>
    <xf numFmtId="0" fontId="19" fillId="0" borderId="1" xfId="0" applyFont="1" applyBorder="1"/>
    <xf numFmtId="0" fontId="2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65" fontId="1" fillId="0" borderId="1" xfId="1" applyNumberFormat="1" applyFont="1" applyBorder="1"/>
    <xf numFmtId="43" fontId="1" fillId="0" borderId="1" xfId="1" applyFont="1" applyBorder="1"/>
    <xf numFmtId="43" fontId="1" fillId="0" borderId="1" xfId="1" applyFont="1" applyFill="1" applyBorder="1"/>
    <xf numFmtId="166" fontId="2" fillId="0" borderId="1" xfId="0" applyNumberFormat="1" applyFont="1" applyBorder="1"/>
    <xf numFmtId="43" fontId="0" fillId="0" borderId="0" xfId="0" applyNumberFormat="1"/>
    <xf numFmtId="165" fontId="1" fillId="0" borderId="0" xfId="1" applyNumberFormat="1" applyFont="1" applyBorder="1"/>
    <xf numFmtId="43" fontId="1" fillId="0" borderId="0" xfId="1" applyFont="1" applyBorder="1"/>
    <xf numFmtId="43" fontId="1" fillId="0" borderId="0" xfId="1" applyFont="1" applyFill="1" applyBorder="1"/>
    <xf numFmtId="166" fontId="2" fillId="0" borderId="0" xfId="0" applyNumberFormat="1" applyFont="1"/>
    <xf numFmtId="0" fontId="2" fillId="0" borderId="1" xfId="0" applyFont="1" applyBorder="1"/>
    <xf numFmtId="0" fontId="9" fillId="0" borderId="1" xfId="0" applyFont="1" applyBorder="1" applyAlignment="1">
      <alignment vertical="center"/>
    </xf>
    <xf numFmtId="164" fontId="0" fillId="0" borderId="0" xfId="0" applyNumberFormat="1"/>
    <xf numFmtId="165" fontId="23" fillId="0" borderId="1" xfId="1" applyNumberFormat="1" applyFont="1" applyBorder="1"/>
    <xf numFmtId="43" fontId="2" fillId="0" borderId="0" xfId="1" applyFont="1" applyBorder="1"/>
    <xf numFmtId="43" fontId="2" fillId="0" borderId="0" xfId="0" applyNumberFormat="1" applyFont="1"/>
    <xf numFmtId="165" fontId="0" fillId="0" borderId="1" xfId="1" applyNumberFormat="1" applyFont="1" applyBorder="1"/>
    <xf numFmtId="43" fontId="19" fillId="0" borderId="0" xfId="1" applyFont="1" applyFill="1" applyBorder="1"/>
    <xf numFmtId="43" fontId="19" fillId="0" borderId="0" xfId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165" fontId="0" fillId="0" borderId="1" xfId="1" applyNumberFormat="1" applyFont="1" applyFill="1" applyBorder="1"/>
    <xf numFmtId="43" fontId="0" fillId="0" borderId="1" xfId="1" applyFont="1" applyBorder="1"/>
    <xf numFmtId="43" fontId="0" fillId="0" borderId="1" xfId="1" applyFont="1" applyFill="1" applyBorder="1"/>
    <xf numFmtId="43" fontId="0" fillId="0" borderId="0" xfId="1" applyFont="1" applyFill="1" applyBorder="1"/>
    <xf numFmtId="43" fontId="0" fillId="0" borderId="0" xfId="1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165" fontId="1" fillId="0" borderId="1" xfId="1" applyNumberFormat="1" applyFont="1" applyFill="1" applyBorder="1"/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Border="1" applyAlignment="1">
      <alignment vertical="center"/>
    </xf>
    <xf numFmtId="0" fontId="14" fillId="0" borderId="0" xfId="0" applyFont="1" applyBorder="1" applyAlignment="1"/>
    <xf numFmtId="0" fontId="3" fillId="0" borderId="0" xfId="0" applyFont="1" applyBorder="1" applyAlignment="1"/>
    <xf numFmtId="0" fontId="30" fillId="0" borderId="0" xfId="0" applyFont="1" applyBorder="1" applyAlignment="1"/>
    <xf numFmtId="0" fontId="14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165" fontId="1" fillId="0" borderId="0" xfId="1" applyNumberFormat="1" applyFont="1" applyFill="1" applyBorder="1"/>
    <xf numFmtId="0" fontId="31" fillId="0" borderId="0" xfId="0" applyFont="1"/>
    <xf numFmtId="43" fontId="23" fillId="0" borderId="1" xfId="1" applyFont="1" applyFill="1" applyBorder="1"/>
    <xf numFmtId="0" fontId="4" fillId="0" borderId="1" xfId="0" applyFont="1" applyBorder="1" applyAlignment="1">
      <alignment vertical="center" wrapText="1"/>
    </xf>
    <xf numFmtId="165" fontId="23" fillId="0" borderId="1" xfId="1" applyNumberFormat="1" applyFont="1" applyFill="1" applyBorder="1"/>
    <xf numFmtId="0" fontId="4" fillId="0" borderId="0" xfId="0" applyFont="1" applyAlignment="1">
      <alignment vertical="center" wrapText="1"/>
    </xf>
    <xf numFmtId="165" fontId="23" fillId="0" borderId="0" xfId="1" applyNumberFormat="1" applyFont="1" applyFill="1" applyBorder="1"/>
    <xf numFmtId="165" fontId="0" fillId="0" borderId="0" xfId="1" applyNumberFormat="1" applyFont="1" applyBorder="1"/>
    <xf numFmtId="0" fontId="30" fillId="0" borderId="0" xfId="0" applyFont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2" fillId="0" borderId="0" xfId="0" applyFont="1"/>
    <xf numFmtId="0" fontId="9" fillId="0" borderId="1" xfId="0" applyFont="1" applyBorder="1" applyAlignment="1">
      <alignment vertical="center" wrapText="1"/>
    </xf>
    <xf numFmtId="43" fontId="0" fillId="0" borderId="1" xfId="0" applyNumberFormat="1" applyBorder="1"/>
    <xf numFmtId="0" fontId="26" fillId="0" borderId="7" xfId="0" applyFont="1" applyBorder="1" applyAlignment="1">
      <alignment vertical="center"/>
    </xf>
    <xf numFmtId="0" fontId="30" fillId="0" borderId="0" xfId="0" applyFont="1" applyAlignment="1"/>
    <xf numFmtId="0" fontId="3" fillId="0" borderId="0" xfId="0" applyFont="1" applyAlignment="1"/>
    <xf numFmtId="165" fontId="2" fillId="0" borderId="1" xfId="1" applyNumberFormat="1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center" vertical="center" wrapText="1"/>
    </xf>
    <xf numFmtId="165" fontId="0" fillId="0" borderId="1" xfId="0" applyNumberFormat="1" applyBorder="1"/>
    <xf numFmtId="166" fontId="0" fillId="0" borderId="1" xfId="0" applyNumberFormat="1" applyBorder="1"/>
    <xf numFmtId="0" fontId="14" fillId="0" borderId="0" xfId="0" applyFont="1" applyAlignment="1"/>
    <xf numFmtId="166" fontId="1" fillId="0" borderId="1" xfId="1" applyNumberFormat="1" applyFont="1" applyBorder="1"/>
    <xf numFmtId="166" fontId="1" fillId="0" borderId="1" xfId="1" applyNumberFormat="1" applyFont="1" applyFill="1" applyBorder="1"/>
    <xf numFmtId="0" fontId="3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3" fontId="1" fillId="0" borderId="3" xfId="1" applyFont="1" applyFill="1" applyBorder="1"/>
    <xf numFmtId="165" fontId="2" fillId="0" borderId="3" xfId="1" applyNumberFormat="1" applyFont="1" applyBorder="1"/>
    <xf numFmtId="43" fontId="1" fillId="0" borderId="7" xfId="1" applyFont="1" applyFill="1" applyBorder="1"/>
    <xf numFmtId="43" fontId="0" fillId="0" borderId="7" xfId="1" applyFont="1" applyFill="1" applyBorder="1"/>
    <xf numFmtId="0" fontId="34" fillId="0" borderId="6" xfId="0" applyFont="1" applyBorder="1" applyAlignment="1">
      <alignment vertical="center"/>
    </xf>
    <xf numFmtId="165" fontId="23" fillId="0" borderId="6" xfId="1" applyNumberFormat="1" applyFont="1" applyFill="1" applyBorder="1"/>
    <xf numFmtId="165" fontId="1" fillId="0" borderId="6" xfId="1" applyNumberFormat="1" applyFont="1" applyBorder="1"/>
    <xf numFmtId="43" fontId="1" fillId="0" borderId="6" xfId="1" applyFont="1" applyBorder="1"/>
    <xf numFmtId="43" fontId="0" fillId="0" borderId="6" xfId="1" applyFont="1" applyBorder="1"/>
    <xf numFmtId="165" fontId="2" fillId="0" borderId="0" xfId="1" applyNumberFormat="1" applyFont="1" applyBorder="1"/>
    <xf numFmtId="0" fontId="10" fillId="0" borderId="6" xfId="0" applyFont="1" applyBorder="1" applyAlignment="1">
      <alignment vertical="center"/>
    </xf>
    <xf numFmtId="165" fontId="0" fillId="0" borderId="0" xfId="1" applyNumberFormat="1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0" fillId="0" borderId="3" xfId="1" applyFont="1" applyFill="1" applyBorder="1"/>
    <xf numFmtId="0" fontId="5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43" fontId="1" fillId="0" borderId="3" xfId="1" applyFont="1" applyBorder="1"/>
    <xf numFmtId="43" fontId="1" fillId="0" borderId="7" xfId="1" applyFont="1" applyBorder="1"/>
    <xf numFmtId="0" fontId="14" fillId="0" borderId="0" xfId="0" applyFont="1" applyBorder="1"/>
    <xf numFmtId="0" fontId="0" fillId="2" borderId="0" xfId="0" applyFill="1"/>
    <xf numFmtId="43" fontId="0" fillId="2" borderId="0" xfId="1" applyFont="1" applyFill="1" applyBorder="1"/>
    <xf numFmtId="0" fontId="9" fillId="2" borderId="0" xfId="0" applyFont="1" applyFill="1" applyAlignment="1">
      <alignment vertical="center"/>
    </xf>
    <xf numFmtId="43" fontId="9" fillId="2" borderId="0" xfId="1" applyFont="1" applyFill="1" applyAlignment="1">
      <alignment horizontal="center" vertical="center"/>
    </xf>
    <xf numFmtId="0" fontId="0" fillId="0" borderId="0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1" applyNumberFormat="1" applyFont="1" applyFill="1" applyBorder="1" applyAlignment="1"/>
    <xf numFmtId="0" fontId="35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43" fontId="9" fillId="2" borderId="0" xfId="1" applyFont="1" applyFill="1"/>
    <xf numFmtId="0" fontId="36" fillId="0" borderId="0" xfId="0" applyFont="1" applyAlignment="1">
      <alignment vertical="center"/>
    </xf>
    <xf numFmtId="43" fontId="9" fillId="0" borderId="0" xfId="1" applyFont="1"/>
    <xf numFmtId="0" fontId="35" fillId="0" borderId="0" xfId="0" applyFont="1" applyAlignment="1">
      <alignment vertical="center"/>
    </xf>
    <xf numFmtId="165" fontId="37" fillId="0" borderId="0" xfId="1" applyNumberFormat="1" applyFont="1"/>
    <xf numFmtId="0" fontId="37" fillId="0" borderId="0" xfId="0" applyFont="1" applyAlignment="1">
      <alignment horizontal="center" vertical="center"/>
    </xf>
    <xf numFmtId="43" fontId="37" fillId="0" borderId="0" xfId="1" applyFont="1"/>
    <xf numFmtId="4" fontId="37" fillId="0" borderId="0" xfId="0" applyNumberFormat="1" applyFont="1" applyAlignment="1">
      <alignment horizontal="center" vertical="center"/>
    </xf>
    <xf numFmtId="0" fontId="37" fillId="0" borderId="0" xfId="0" applyFont="1"/>
    <xf numFmtId="0" fontId="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5" fillId="2" borderId="0" xfId="0" applyFont="1" applyFill="1"/>
    <xf numFmtId="0" fontId="37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165" fontId="4" fillId="0" borderId="0" xfId="1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43" fontId="35" fillId="0" borderId="0" xfId="1" applyFont="1" applyFill="1" applyBorder="1" applyAlignment="1"/>
    <xf numFmtId="165" fontId="35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5" fontId="4" fillId="0" borderId="0" xfId="1" applyNumberFormat="1" applyFont="1" applyBorder="1" applyAlignment="1">
      <alignment horizontal="right"/>
    </xf>
    <xf numFmtId="0" fontId="8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43" fontId="27" fillId="0" borderId="0" xfId="1" applyFont="1" applyAlignment="1">
      <alignment horizontal="center"/>
    </xf>
    <xf numFmtId="0" fontId="41" fillId="0" borderId="0" xfId="0" applyFont="1" applyAlignment="1">
      <alignment horizontal="center" wrapText="1"/>
    </xf>
    <xf numFmtId="43" fontId="27" fillId="0" borderId="0" xfId="1" applyFont="1" applyAlignment="1">
      <alignment horizontal="right"/>
    </xf>
    <xf numFmtId="0" fontId="27" fillId="0" borderId="0" xfId="0" applyFont="1" applyAlignment="1">
      <alignment horizontal="right"/>
    </xf>
    <xf numFmtId="0" fontId="42" fillId="0" borderId="0" xfId="0" applyFont="1" applyAlignment="1">
      <alignment horizontal="right" vertical="center"/>
    </xf>
    <xf numFmtId="165" fontId="43" fillId="0" borderId="0" xfId="0" applyNumberFormat="1" applyFont="1" applyAlignment="1">
      <alignment horizontal="right"/>
    </xf>
    <xf numFmtId="165" fontId="0" fillId="0" borderId="0" xfId="1" applyNumberFormat="1" applyFont="1" applyAlignment="1">
      <alignment vertical="center"/>
    </xf>
    <xf numFmtId="165" fontId="44" fillId="0" borderId="0" xfId="1" applyNumberFormat="1" applyFont="1"/>
    <xf numFmtId="43" fontId="0" fillId="2" borderId="0" xfId="1" applyFont="1" applyFill="1"/>
    <xf numFmtId="165" fontId="1" fillId="0" borderId="0" xfId="1" applyNumberFormat="1" applyFont="1"/>
    <xf numFmtId="165" fontId="32" fillId="0" borderId="0" xfId="1" applyNumberFormat="1" applyFont="1" applyAlignment="1">
      <alignment vertical="center"/>
    </xf>
    <xf numFmtId="0" fontId="0" fillId="0" borderId="0" xfId="0" applyAlignment="1">
      <alignment wrapText="1"/>
    </xf>
    <xf numFmtId="43" fontId="0" fillId="0" borderId="0" xfId="1" applyFont="1" applyAlignment="1">
      <alignment vertical="center"/>
    </xf>
    <xf numFmtId="43" fontId="44" fillId="0" borderId="0" xfId="1" applyFont="1"/>
    <xf numFmtId="0" fontId="44" fillId="0" borderId="0" xfId="0" applyFont="1"/>
    <xf numFmtId="0" fontId="27" fillId="0" borderId="0" xfId="0" applyFont="1"/>
    <xf numFmtId="43" fontId="27" fillId="0" borderId="0" xfId="1" applyFont="1" applyBorder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165" fontId="0" fillId="2" borderId="0" xfId="1" applyNumberFormat="1" applyFont="1" applyFill="1"/>
    <xf numFmtId="0" fontId="0" fillId="3" borderId="0" xfId="0" applyFill="1"/>
    <xf numFmtId="16" fontId="0" fillId="0" borderId="0" xfId="0" applyNumberFormat="1"/>
    <xf numFmtId="43" fontId="2" fillId="0" borderId="0" xfId="1" applyFont="1"/>
    <xf numFmtId="165" fontId="1" fillId="0" borderId="0" xfId="1" applyNumberFormat="1" applyFont="1" applyBorder="1" applyAlignment="1">
      <alignment vertical="center"/>
    </xf>
    <xf numFmtId="164" fontId="44" fillId="0" borderId="0" xfId="0" applyNumberFormat="1" applyFont="1"/>
    <xf numFmtId="0" fontId="46" fillId="0" borderId="0" xfId="0" applyFont="1"/>
    <xf numFmtId="43" fontId="2" fillId="0" borderId="0" xfId="1" applyFont="1" applyBorder="1" applyAlignment="1">
      <alignment horizontal="center" wrapText="1"/>
    </xf>
    <xf numFmtId="43" fontId="47" fillId="0" borderId="0" xfId="1" applyFont="1" applyBorder="1" applyAlignment="1">
      <alignment horizontal="center"/>
    </xf>
    <xf numFmtId="0" fontId="2" fillId="0" borderId="2" xfId="0" applyFont="1" applyBorder="1"/>
    <xf numFmtId="165" fontId="23" fillId="0" borderId="0" xfId="1" applyNumberFormat="1" applyFont="1" applyFill="1" applyBorder="1" applyAlignment="1"/>
    <xf numFmtId="43" fontId="23" fillId="0" borderId="0" xfId="1" applyFont="1"/>
    <xf numFmtId="43" fontId="23" fillId="0" borderId="0" xfId="1" applyFont="1" applyAlignment="1">
      <alignment horizontal="center"/>
    </xf>
    <xf numFmtId="166" fontId="48" fillId="0" borderId="0" xfId="0" applyNumberFormat="1" applyFont="1"/>
    <xf numFmtId="165" fontId="44" fillId="0" borderId="0" xfId="0" applyNumberFormat="1" applyFont="1"/>
    <xf numFmtId="0" fontId="32" fillId="0" borderId="0" xfId="0" applyFont="1"/>
    <xf numFmtId="43" fontId="32" fillId="0" borderId="0" xfId="1" applyFont="1" applyFill="1" applyBorder="1" applyAlignment="1"/>
    <xf numFmtId="43" fontId="32" fillId="0" borderId="0" xfId="1" applyFont="1"/>
    <xf numFmtId="0" fontId="32" fillId="0" borderId="0" xfId="0" applyFont="1" applyAlignment="1">
      <alignment horizontal="center"/>
    </xf>
    <xf numFmtId="43" fontId="32" fillId="0" borderId="0" xfId="0" applyNumberFormat="1" applyFont="1"/>
    <xf numFmtId="0" fontId="17" fillId="0" borderId="0" xfId="0" applyFont="1"/>
    <xf numFmtId="0" fontId="39" fillId="0" borderId="0" xfId="0" applyFont="1"/>
    <xf numFmtId="43" fontId="44" fillId="0" borderId="0" xfId="1" applyFont="1" applyBorder="1"/>
    <xf numFmtId="0" fontId="13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CHOOL%20FEES%202017-18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S F, L 2016-17"/>
      <sheetName val="SAS 2016-17"/>
      <sheetName val="GRAD 2016-17"/>
      <sheetName val="CBS 2017-18"/>
      <sheetName val="SAS 2017-18"/>
      <sheetName val="GRAD 2017-18"/>
    </sheetNames>
    <sheetDataSet>
      <sheetData sheetId="0" refreshError="1"/>
      <sheetData sheetId="1" refreshError="1">
        <row r="6">
          <cell r="B6">
            <v>2930</v>
          </cell>
        </row>
        <row r="35">
          <cell r="J35">
            <v>0</v>
          </cell>
        </row>
        <row r="36">
          <cell r="J36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882C-8A07-43EA-8354-5B9377575D8B}">
  <dimension ref="A1:O123"/>
  <sheetViews>
    <sheetView tabSelected="1" workbookViewId="0">
      <selection sqref="A1:J1"/>
    </sheetView>
  </sheetViews>
  <sheetFormatPr defaultColWidth="9.140625" defaultRowHeight="15"/>
  <cols>
    <col min="1" max="1" width="34.140625" style="1" customWidth="1"/>
    <col min="2" max="2" width="23.7109375" style="1" hidden="1" customWidth="1"/>
    <col min="3" max="3" width="13.7109375" style="1" customWidth="1"/>
    <col min="4" max="4" width="13" style="1" customWidth="1"/>
    <col min="5" max="5" width="10.42578125" style="1" customWidth="1"/>
    <col min="6" max="6" width="10.5703125" style="1" customWidth="1"/>
    <col min="7" max="7" width="18.7109375" style="1" customWidth="1"/>
    <col min="8" max="8" width="12.5703125" style="1" customWidth="1"/>
    <col min="9" max="9" width="11.42578125" style="1" customWidth="1"/>
    <col min="10" max="11" width="12.28515625" style="1" customWidth="1"/>
    <col min="12" max="12" width="10.42578125" style="12" bestFit="1" customWidth="1"/>
    <col min="13" max="15" width="12.5703125" style="1" customWidth="1"/>
    <col min="16" max="16" width="14.5703125" style="1" customWidth="1"/>
    <col min="17" max="19" width="12.7109375" style="1" customWidth="1"/>
    <col min="20" max="20" width="11.5703125" style="1" customWidth="1"/>
    <col min="21" max="21" width="10" style="1" bestFit="1" customWidth="1"/>
    <col min="22" max="16384" width="9.140625" style="1"/>
  </cols>
  <sheetData>
    <row r="1" spans="1:14" ht="2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68"/>
      <c r="L1" s="68"/>
    </row>
    <row r="2" spans="1:14" ht="2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299"/>
      <c r="K2" s="68"/>
      <c r="L2" s="68"/>
    </row>
    <row r="3" spans="1:14" ht="42.75">
      <c r="A3" s="302" t="s">
        <v>2</v>
      </c>
      <c r="B3" s="302"/>
      <c r="C3" s="2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L3" s="1"/>
    </row>
    <row r="4" spans="1:14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  <c r="J4" s="8" t="s">
        <v>12</v>
      </c>
      <c r="L4" s="1"/>
    </row>
    <row r="5" spans="1:14" ht="15.75">
      <c r="A5" s="9" t="s">
        <v>13</v>
      </c>
      <c r="C5" s="10">
        <f>(2404*1.03)+100</f>
        <v>2576.12</v>
      </c>
      <c r="D5" s="11">
        <v>80</v>
      </c>
      <c r="E5" s="11">
        <v>20</v>
      </c>
      <c r="F5" s="11">
        <v>120</v>
      </c>
      <c r="G5" s="11">
        <v>220</v>
      </c>
      <c r="H5" s="12">
        <v>0</v>
      </c>
      <c r="I5" s="13">
        <v>13</v>
      </c>
      <c r="J5" s="14">
        <f t="shared" ref="J5:J12" si="0">SUM(C5:I5)</f>
        <v>3029.12</v>
      </c>
      <c r="L5" s="1"/>
      <c r="M5" s="15"/>
    </row>
    <row r="6" spans="1:14" ht="15.75">
      <c r="A6" s="9" t="s">
        <v>14</v>
      </c>
      <c r="C6" s="10">
        <f t="shared" ref="C6:C12" si="1">(2404*1.03)+100</f>
        <v>2576.12</v>
      </c>
      <c r="D6" s="11">
        <v>80</v>
      </c>
      <c r="E6" s="11">
        <v>20</v>
      </c>
      <c r="F6" s="11">
        <v>120</v>
      </c>
      <c r="G6" s="11">
        <v>220</v>
      </c>
      <c r="H6" s="12">
        <v>0</v>
      </c>
      <c r="I6" s="13">
        <v>13</v>
      </c>
      <c r="J6" s="14">
        <f t="shared" si="0"/>
        <v>3029.12</v>
      </c>
      <c r="K6" s="15"/>
      <c r="L6" s="1"/>
    </row>
    <row r="7" spans="1:14" ht="15.75">
      <c r="A7" s="9" t="s">
        <v>15</v>
      </c>
      <c r="C7" s="10">
        <f t="shared" si="1"/>
        <v>2576.12</v>
      </c>
      <c r="D7" s="11">
        <v>80</v>
      </c>
      <c r="E7" s="11">
        <v>20</v>
      </c>
      <c r="F7" s="11">
        <v>120</v>
      </c>
      <c r="G7" s="11">
        <v>220</v>
      </c>
      <c r="H7" s="12">
        <v>0</v>
      </c>
      <c r="I7" s="13">
        <v>13</v>
      </c>
      <c r="J7" s="14">
        <f t="shared" si="0"/>
        <v>3029.12</v>
      </c>
      <c r="L7" s="1"/>
    </row>
    <row r="8" spans="1:14" ht="15.75">
      <c r="A8" s="9" t="s">
        <v>16</v>
      </c>
      <c r="C8" s="10">
        <f t="shared" si="1"/>
        <v>2576.12</v>
      </c>
      <c r="D8" s="11">
        <v>80</v>
      </c>
      <c r="E8" s="11">
        <v>20</v>
      </c>
      <c r="F8" s="11">
        <v>120</v>
      </c>
      <c r="G8" s="11">
        <v>220</v>
      </c>
      <c r="H8" s="12">
        <v>0</v>
      </c>
      <c r="I8" s="13">
        <v>13</v>
      </c>
      <c r="J8" s="14">
        <f t="shared" si="0"/>
        <v>3029.12</v>
      </c>
      <c r="L8" s="1"/>
    </row>
    <row r="9" spans="1:14" ht="15.75">
      <c r="A9" s="9" t="s">
        <v>17</v>
      </c>
      <c r="C9" s="10">
        <f t="shared" si="1"/>
        <v>2576.12</v>
      </c>
      <c r="D9" s="11">
        <v>80</v>
      </c>
      <c r="E9" s="11">
        <v>20</v>
      </c>
      <c r="F9" s="11">
        <v>120</v>
      </c>
      <c r="G9" s="11">
        <v>220</v>
      </c>
      <c r="H9" s="12">
        <v>0</v>
      </c>
      <c r="I9" s="13">
        <v>13</v>
      </c>
      <c r="J9" s="14">
        <f t="shared" si="0"/>
        <v>3029.12</v>
      </c>
      <c r="L9" s="1"/>
    </row>
    <row r="10" spans="1:14" ht="15.75">
      <c r="A10" s="9" t="s">
        <v>18</v>
      </c>
      <c r="C10" s="10">
        <f t="shared" si="1"/>
        <v>2576.12</v>
      </c>
      <c r="D10" s="11">
        <v>80</v>
      </c>
      <c r="E10" s="11">
        <v>20</v>
      </c>
      <c r="F10" s="11">
        <v>120</v>
      </c>
      <c r="G10" s="11">
        <v>220</v>
      </c>
      <c r="H10" s="12">
        <v>0</v>
      </c>
      <c r="I10" s="13">
        <v>13</v>
      </c>
      <c r="J10" s="14">
        <f t="shared" si="0"/>
        <v>3029.12</v>
      </c>
      <c r="L10" s="1"/>
    </row>
    <row r="11" spans="1:14" ht="15.75">
      <c r="A11" s="9" t="s">
        <v>19</v>
      </c>
      <c r="C11" s="10">
        <f t="shared" si="1"/>
        <v>2576.12</v>
      </c>
      <c r="D11" s="11">
        <v>80</v>
      </c>
      <c r="E11" s="11">
        <v>20</v>
      </c>
      <c r="F11" s="11">
        <v>120</v>
      </c>
      <c r="G11" s="11">
        <v>220</v>
      </c>
      <c r="H11" s="12">
        <v>0</v>
      </c>
      <c r="I11" s="13">
        <v>13</v>
      </c>
      <c r="J11" s="14">
        <f t="shared" si="0"/>
        <v>3029.12</v>
      </c>
      <c r="L11" s="1"/>
      <c r="N11" s="16"/>
    </row>
    <row r="12" spans="1:14" ht="15.75">
      <c r="A12" s="1" t="s">
        <v>20</v>
      </c>
      <c r="C12" s="10">
        <f t="shared" si="1"/>
        <v>2576.12</v>
      </c>
      <c r="D12" s="11">
        <v>80</v>
      </c>
      <c r="E12" s="11">
        <v>20</v>
      </c>
      <c r="F12" s="11">
        <v>120</v>
      </c>
      <c r="G12" s="11">
        <v>220</v>
      </c>
      <c r="H12" s="17">
        <v>0</v>
      </c>
      <c r="I12" s="13">
        <v>13</v>
      </c>
      <c r="J12" s="14">
        <f t="shared" si="0"/>
        <v>3029.12</v>
      </c>
      <c r="L12" s="1"/>
      <c r="M12" s="15"/>
    </row>
    <row r="13" spans="1:14" ht="15.75">
      <c r="C13" s="18"/>
      <c r="D13" s="11"/>
      <c r="E13" s="11"/>
      <c r="F13" s="11"/>
      <c r="G13" s="11"/>
      <c r="H13" s="11"/>
      <c r="I13" s="11"/>
      <c r="J13" s="17"/>
      <c r="K13" s="19"/>
      <c r="L13" s="17"/>
    </row>
    <row r="14" spans="1:14" ht="15.75">
      <c r="C14" s="18"/>
      <c r="D14" s="11"/>
      <c r="E14" s="11"/>
      <c r="F14" s="11"/>
      <c r="G14" s="11"/>
      <c r="H14" s="11"/>
      <c r="I14" s="11"/>
      <c r="J14" s="17"/>
      <c r="K14" s="19"/>
      <c r="L14" s="17"/>
    </row>
    <row r="15" spans="1:14" ht="15.75">
      <c r="A15" s="6" t="s">
        <v>21</v>
      </c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4" ht="15.75">
      <c r="A16" s="9" t="s">
        <v>22</v>
      </c>
      <c r="C16" s="10">
        <f>(2849*1.03)+100</f>
        <v>3034.4700000000003</v>
      </c>
      <c r="D16" s="11">
        <v>80</v>
      </c>
      <c r="E16" s="11">
        <v>20</v>
      </c>
      <c r="F16" s="11">
        <v>120</v>
      </c>
      <c r="G16" s="11">
        <v>220</v>
      </c>
      <c r="H16" s="22">
        <v>0</v>
      </c>
      <c r="I16" s="19">
        <v>13</v>
      </c>
      <c r="J16" s="14">
        <f t="shared" ref="J16:J28" si="2">SUM(C16:I16)</f>
        <v>3487.4700000000003</v>
      </c>
      <c r="K16" s="1" t="s">
        <v>23</v>
      </c>
      <c r="L16" s="1"/>
      <c r="M16" s="23"/>
      <c r="N16" s="12"/>
    </row>
    <row r="17" spans="1:14" s="25" customFormat="1" ht="15.75">
      <c r="A17" s="24" t="s">
        <v>24</v>
      </c>
      <c r="C17" s="26">
        <f>(2604*1.03)+100</f>
        <v>2782.12</v>
      </c>
      <c r="D17" s="11">
        <v>80</v>
      </c>
      <c r="E17" s="27">
        <v>20</v>
      </c>
      <c r="F17" s="11">
        <v>120</v>
      </c>
      <c r="G17" s="11">
        <v>220</v>
      </c>
      <c r="H17" s="28">
        <v>0</v>
      </c>
      <c r="I17" s="19">
        <v>13</v>
      </c>
      <c r="J17" s="14">
        <f t="shared" si="2"/>
        <v>3235.12</v>
      </c>
      <c r="M17" s="29"/>
      <c r="N17" s="30"/>
    </row>
    <row r="18" spans="1:14" ht="15.75">
      <c r="A18" s="9" t="s">
        <v>25</v>
      </c>
      <c r="C18" s="10">
        <f>(2994*1.03)+100</f>
        <v>3183.82</v>
      </c>
      <c r="D18" s="11">
        <v>80</v>
      </c>
      <c r="E18" s="11">
        <v>20</v>
      </c>
      <c r="F18" s="11">
        <v>120</v>
      </c>
      <c r="G18" s="11">
        <v>220</v>
      </c>
      <c r="H18" s="22">
        <v>0</v>
      </c>
      <c r="I18" s="19">
        <v>13</v>
      </c>
      <c r="J18" s="14">
        <f t="shared" si="2"/>
        <v>3636.82</v>
      </c>
      <c r="L18" s="1"/>
      <c r="M18" s="23"/>
      <c r="N18" s="12"/>
    </row>
    <row r="19" spans="1:14" ht="15.75">
      <c r="A19" s="9" t="s">
        <v>26</v>
      </c>
      <c r="C19" s="10">
        <f>(2726*1.03)+100</f>
        <v>2907.78</v>
      </c>
      <c r="D19" s="11">
        <v>80</v>
      </c>
      <c r="E19" s="11">
        <v>20</v>
      </c>
      <c r="F19" s="11">
        <v>120</v>
      </c>
      <c r="G19" s="11">
        <v>220</v>
      </c>
      <c r="H19" s="12">
        <f>500*1.1</f>
        <v>550</v>
      </c>
      <c r="I19" s="19">
        <v>13</v>
      </c>
      <c r="J19" s="14">
        <f t="shared" si="2"/>
        <v>3910.78</v>
      </c>
      <c r="L19" s="1"/>
      <c r="M19" s="29"/>
      <c r="N19" s="12"/>
    </row>
    <row r="20" spans="1:14" ht="15.75">
      <c r="A20" s="9" t="s">
        <v>27</v>
      </c>
      <c r="C20" s="10">
        <f>(2849*1.03)+100</f>
        <v>3034.4700000000003</v>
      </c>
      <c r="D20" s="11">
        <v>80</v>
      </c>
      <c r="E20" s="11">
        <v>20</v>
      </c>
      <c r="F20" s="11">
        <v>120</v>
      </c>
      <c r="G20" s="11">
        <v>220</v>
      </c>
      <c r="H20" s="12">
        <v>0</v>
      </c>
      <c r="I20" s="19">
        <v>13</v>
      </c>
      <c r="J20" s="14">
        <f t="shared" si="2"/>
        <v>3487.4700000000003</v>
      </c>
      <c r="L20" s="1"/>
      <c r="M20" s="23"/>
      <c r="N20" s="12"/>
    </row>
    <row r="21" spans="1:14" ht="15.75">
      <c r="A21" s="9" t="s">
        <v>28</v>
      </c>
      <c r="C21" s="10">
        <f>(2716*1.03)+100</f>
        <v>2897.48</v>
      </c>
      <c r="D21" s="11">
        <v>80</v>
      </c>
      <c r="E21" s="11">
        <v>20</v>
      </c>
      <c r="F21" s="11">
        <v>120</v>
      </c>
      <c r="G21" s="11">
        <v>220</v>
      </c>
      <c r="H21" s="12">
        <v>0</v>
      </c>
      <c r="I21" s="19">
        <v>13</v>
      </c>
      <c r="J21" s="14">
        <f t="shared" si="2"/>
        <v>3350.48</v>
      </c>
      <c r="L21" s="1"/>
      <c r="M21" s="29"/>
      <c r="N21" s="12"/>
    </row>
    <row r="22" spans="1:14" ht="15.75">
      <c r="A22" s="9" t="s">
        <v>29</v>
      </c>
      <c r="C22" s="10">
        <f>(2716*1.03)+100</f>
        <v>2897.48</v>
      </c>
      <c r="D22" s="11">
        <v>80</v>
      </c>
      <c r="E22" s="11">
        <v>20</v>
      </c>
      <c r="F22" s="11">
        <v>120</v>
      </c>
      <c r="G22" s="11">
        <v>220</v>
      </c>
      <c r="H22" s="12">
        <v>0</v>
      </c>
      <c r="I22" s="19">
        <v>13</v>
      </c>
      <c r="J22" s="14">
        <f t="shared" si="2"/>
        <v>3350.48</v>
      </c>
      <c r="L22" s="1"/>
      <c r="M22" s="23"/>
      <c r="N22" s="12"/>
    </row>
    <row r="23" spans="1:14" ht="15.75">
      <c r="A23" s="9" t="s">
        <v>30</v>
      </c>
      <c r="C23" s="10">
        <f>(2716*1.03)+100</f>
        <v>2897.48</v>
      </c>
      <c r="D23" s="11">
        <v>80</v>
      </c>
      <c r="E23" s="11">
        <v>20</v>
      </c>
      <c r="F23" s="11">
        <v>120</v>
      </c>
      <c r="G23" s="11">
        <v>220</v>
      </c>
      <c r="H23" s="12">
        <v>0</v>
      </c>
      <c r="I23" s="19">
        <v>13</v>
      </c>
      <c r="J23" s="14">
        <f t="shared" si="2"/>
        <v>3350.48</v>
      </c>
      <c r="L23" s="1"/>
      <c r="M23" s="29"/>
      <c r="N23" s="12"/>
    </row>
    <row r="24" spans="1:14" ht="15.75">
      <c r="A24" s="9" t="s">
        <v>31</v>
      </c>
      <c r="C24" s="10">
        <f>(2209*1.03)+100</f>
        <v>2375.27</v>
      </c>
      <c r="D24" s="11">
        <v>80</v>
      </c>
      <c r="E24" s="11">
        <v>20</v>
      </c>
      <c r="F24" s="11">
        <v>120</v>
      </c>
      <c r="G24" s="11">
        <v>220</v>
      </c>
      <c r="H24" s="17">
        <v>0</v>
      </c>
      <c r="I24" s="19">
        <v>13</v>
      </c>
      <c r="J24" s="14">
        <f t="shared" si="2"/>
        <v>2828.27</v>
      </c>
      <c r="L24" s="1"/>
      <c r="M24" s="23"/>
      <c r="N24" s="12"/>
    </row>
    <row r="25" spans="1:14" ht="15.75">
      <c r="A25" s="9" t="s">
        <v>32</v>
      </c>
      <c r="C25" s="10">
        <f>(2209*1.03)+100</f>
        <v>2375.27</v>
      </c>
      <c r="D25" s="11">
        <v>80</v>
      </c>
      <c r="E25" s="11">
        <v>20</v>
      </c>
      <c r="F25" s="11">
        <v>120</v>
      </c>
      <c r="G25" s="11">
        <v>220</v>
      </c>
      <c r="H25" s="17">
        <v>0</v>
      </c>
      <c r="I25" s="19">
        <v>13</v>
      </c>
      <c r="J25" s="14">
        <f t="shared" si="2"/>
        <v>2828.27</v>
      </c>
      <c r="L25" s="1"/>
      <c r="M25" s="29"/>
      <c r="N25" s="12"/>
    </row>
    <row r="26" spans="1:14" s="25" customFormat="1" ht="15.75">
      <c r="A26" s="24" t="s">
        <v>33</v>
      </c>
      <c r="C26" s="26">
        <f>(2098*1.03)+100</f>
        <v>2260.94</v>
      </c>
      <c r="D26" s="11">
        <v>80</v>
      </c>
      <c r="E26" s="27">
        <v>20</v>
      </c>
      <c r="F26" s="11">
        <v>120</v>
      </c>
      <c r="G26" s="11">
        <v>220</v>
      </c>
      <c r="H26" s="31">
        <v>0</v>
      </c>
      <c r="I26" s="19">
        <v>13</v>
      </c>
      <c r="J26" s="14">
        <f t="shared" si="2"/>
        <v>2713.94</v>
      </c>
      <c r="M26" s="23"/>
      <c r="N26" s="30"/>
    </row>
    <row r="27" spans="1:14" ht="15.75">
      <c r="A27" s="1" t="s">
        <v>34</v>
      </c>
      <c r="C27" s="10">
        <f>(2003*1.03)+100</f>
        <v>2163.09</v>
      </c>
      <c r="D27" s="11">
        <v>80</v>
      </c>
      <c r="E27" s="11">
        <v>20</v>
      </c>
      <c r="F27" s="11">
        <v>120</v>
      </c>
      <c r="G27" s="11">
        <v>220</v>
      </c>
      <c r="H27" s="12">
        <v>0</v>
      </c>
      <c r="I27" s="19">
        <v>13</v>
      </c>
      <c r="J27" s="14">
        <f t="shared" si="2"/>
        <v>2616.09</v>
      </c>
      <c r="L27" s="1"/>
      <c r="M27" s="29"/>
      <c r="N27" s="12"/>
    </row>
    <row r="28" spans="1:14" ht="15.75">
      <c r="A28" s="9" t="s">
        <v>35</v>
      </c>
      <c r="C28" s="10">
        <f>(3005*1.03)+100</f>
        <v>3195.15</v>
      </c>
      <c r="D28" s="11">
        <v>80</v>
      </c>
      <c r="E28" s="11">
        <v>20</v>
      </c>
      <c r="F28" s="11">
        <v>120</v>
      </c>
      <c r="G28" s="11">
        <v>220</v>
      </c>
      <c r="H28" s="22">
        <v>0</v>
      </c>
      <c r="I28" s="19">
        <v>13</v>
      </c>
      <c r="J28" s="14">
        <f t="shared" si="2"/>
        <v>3648.15</v>
      </c>
      <c r="L28" s="1"/>
      <c r="M28" s="23"/>
      <c r="N28" s="12"/>
    </row>
    <row r="29" spans="1:14" ht="15.75">
      <c r="C29" s="18"/>
      <c r="D29" s="11"/>
      <c r="E29" s="11"/>
      <c r="F29" s="11"/>
      <c r="G29" s="11"/>
      <c r="H29" s="11"/>
      <c r="I29" s="11"/>
      <c r="J29" s="22"/>
      <c r="K29" s="19"/>
      <c r="L29" s="17"/>
    </row>
    <row r="30" spans="1:14" ht="15.75">
      <c r="C30" s="18"/>
      <c r="D30" s="11"/>
      <c r="E30" s="11"/>
      <c r="F30" s="11"/>
      <c r="G30" s="11"/>
      <c r="H30" s="11"/>
      <c r="I30" s="11"/>
      <c r="J30" s="22"/>
      <c r="K30" s="19"/>
      <c r="L30" s="17"/>
    </row>
    <row r="31" spans="1:14" ht="15.75">
      <c r="A31" s="302" t="s">
        <v>2</v>
      </c>
      <c r="B31" s="302"/>
      <c r="C31" s="32"/>
      <c r="D31" s="20"/>
      <c r="E31" s="20"/>
      <c r="F31" s="20"/>
      <c r="G31" s="20"/>
      <c r="H31" s="20"/>
      <c r="I31" s="20"/>
      <c r="J31" s="20"/>
      <c r="K31" s="20"/>
      <c r="L31" s="21"/>
    </row>
    <row r="32" spans="1:14" ht="15.75">
      <c r="A32" s="33" t="s">
        <v>36</v>
      </c>
      <c r="C32" s="34">
        <f>(5902*1.06)+100</f>
        <v>6356.12</v>
      </c>
      <c r="D32" s="11">
        <v>80</v>
      </c>
      <c r="E32" s="11">
        <v>20</v>
      </c>
      <c r="F32" s="11">
        <v>120</v>
      </c>
      <c r="G32" s="11">
        <v>220</v>
      </c>
      <c r="H32" s="17">
        <v>0</v>
      </c>
      <c r="I32" s="19">
        <v>13</v>
      </c>
      <c r="J32" s="14">
        <f>SUM(C32:I32)</f>
        <v>6809.12</v>
      </c>
      <c r="L32" s="1"/>
      <c r="M32" s="23"/>
    </row>
    <row r="33" spans="1:13" ht="15.75">
      <c r="A33" s="9"/>
      <c r="C33" s="32"/>
      <c r="D33" s="20"/>
      <c r="E33" s="20"/>
      <c r="F33" s="20"/>
      <c r="G33" s="20"/>
      <c r="H33" s="20"/>
      <c r="I33" s="20"/>
      <c r="J33" s="20"/>
      <c r="K33" s="20"/>
    </row>
    <row r="34" spans="1:13" ht="15.75">
      <c r="A34" s="9"/>
      <c r="C34" s="32"/>
      <c r="D34" s="20"/>
      <c r="E34" s="20"/>
      <c r="F34" s="20"/>
      <c r="G34" s="20"/>
      <c r="H34" s="20"/>
      <c r="I34" s="20"/>
      <c r="J34" s="20"/>
      <c r="K34" s="20"/>
    </row>
    <row r="39" spans="1:13" ht="20.25">
      <c r="A39" s="299" t="s">
        <v>37</v>
      </c>
      <c r="B39" s="299"/>
      <c r="C39" s="299"/>
      <c r="D39" s="299"/>
      <c r="E39" s="299"/>
      <c r="F39" s="299"/>
      <c r="G39" s="299"/>
      <c r="H39" s="299"/>
      <c r="I39" s="299"/>
      <c r="J39" s="299"/>
      <c r="K39" s="68"/>
      <c r="L39" s="68"/>
    </row>
    <row r="40" spans="1:13" ht="20.25">
      <c r="A40" s="299" t="s">
        <v>38</v>
      </c>
      <c r="B40" s="299"/>
      <c r="C40" s="299"/>
      <c r="D40" s="299"/>
      <c r="E40" s="299"/>
      <c r="F40" s="299"/>
      <c r="G40" s="299"/>
      <c r="H40" s="299"/>
      <c r="I40" s="299"/>
      <c r="J40" s="299"/>
      <c r="K40" s="68"/>
      <c r="L40" s="68"/>
    </row>
    <row r="41" spans="1:13" ht="42.75">
      <c r="A41" s="302" t="s">
        <v>2</v>
      </c>
      <c r="B41" s="302"/>
      <c r="C41" s="2" t="s">
        <v>3</v>
      </c>
      <c r="D41" s="3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  <c r="J41" s="5" t="s">
        <v>10</v>
      </c>
      <c r="L41" s="1"/>
    </row>
    <row r="42" spans="1:13" ht="15.75">
      <c r="A42" s="6" t="s">
        <v>11</v>
      </c>
      <c r="C42" s="35" t="s">
        <v>39</v>
      </c>
      <c r="D42" s="35" t="s">
        <v>39</v>
      </c>
      <c r="E42" s="35" t="s">
        <v>39</v>
      </c>
      <c r="F42" s="35" t="s">
        <v>39</v>
      </c>
      <c r="G42" s="35" t="s">
        <v>39</v>
      </c>
      <c r="H42" s="35" t="s">
        <v>39</v>
      </c>
      <c r="I42" s="36" t="s">
        <v>39</v>
      </c>
      <c r="J42" s="37" t="s">
        <v>39</v>
      </c>
      <c r="L42" s="1"/>
    </row>
    <row r="43" spans="1:13" ht="15.75">
      <c r="A43" s="24" t="s">
        <v>40</v>
      </c>
      <c r="B43" s="25"/>
      <c r="C43" s="38">
        <f>1524+16</f>
        <v>1540</v>
      </c>
      <c r="D43" s="27">
        <v>9</v>
      </c>
      <c r="E43" s="27">
        <v>2</v>
      </c>
      <c r="F43" s="27">
        <v>15</v>
      </c>
      <c r="G43" s="27">
        <v>16</v>
      </c>
      <c r="H43" s="31">
        <v>0</v>
      </c>
      <c r="I43" s="39">
        <v>2</v>
      </c>
      <c r="J43" s="31">
        <f t="shared" ref="J43:J49" si="3">SUM(C43:I43)</f>
        <v>1584</v>
      </c>
      <c r="L43" s="1"/>
      <c r="M43" s="16"/>
    </row>
    <row r="44" spans="1:13" ht="15.75">
      <c r="A44" s="24" t="s">
        <v>41</v>
      </c>
      <c r="B44" s="25"/>
      <c r="C44" s="38">
        <f t="shared" ref="C44:C49" si="4">1524+16</f>
        <v>1540</v>
      </c>
      <c r="D44" s="27">
        <v>9</v>
      </c>
      <c r="E44" s="27">
        <v>2</v>
      </c>
      <c r="F44" s="27">
        <v>15</v>
      </c>
      <c r="G44" s="27">
        <v>16</v>
      </c>
      <c r="H44" s="31">
        <v>0</v>
      </c>
      <c r="I44" s="39">
        <v>2</v>
      </c>
      <c r="J44" s="31">
        <f t="shared" si="3"/>
        <v>1584</v>
      </c>
      <c r="L44" s="1"/>
    </row>
    <row r="45" spans="1:13" ht="15.75">
      <c r="A45" s="24" t="s">
        <v>42</v>
      </c>
      <c r="B45" s="25"/>
      <c r="C45" s="38">
        <f t="shared" si="4"/>
        <v>1540</v>
      </c>
      <c r="D45" s="27">
        <v>9</v>
      </c>
      <c r="E45" s="27">
        <v>2</v>
      </c>
      <c r="F45" s="27">
        <v>15</v>
      </c>
      <c r="G45" s="27">
        <v>16</v>
      </c>
      <c r="H45" s="31">
        <v>0</v>
      </c>
      <c r="I45" s="39">
        <v>2</v>
      </c>
      <c r="J45" s="31">
        <f t="shared" si="3"/>
        <v>1584</v>
      </c>
      <c r="L45" s="1"/>
    </row>
    <row r="46" spans="1:13" ht="15.75">
      <c r="A46" s="24" t="s">
        <v>43</v>
      </c>
      <c r="B46" s="25"/>
      <c r="C46" s="38">
        <f t="shared" si="4"/>
        <v>1540</v>
      </c>
      <c r="D46" s="27">
        <v>9</v>
      </c>
      <c r="E46" s="27">
        <v>2</v>
      </c>
      <c r="F46" s="27">
        <v>15</v>
      </c>
      <c r="G46" s="27">
        <v>16</v>
      </c>
      <c r="H46" s="31">
        <v>0</v>
      </c>
      <c r="I46" s="39">
        <v>2</v>
      </c>
      <c r="J46" s="31">
        <f t="shared" si="3"/>
        <v>1584</v>
      </c>
      <c r="L46" s="1"/>
    </row>
    <row r="47" spans="1:13" ht="15.75">
      <c r="A47" s="24" t="s">
        <v>44</v>
      </c>
      <c r="B47" s="25"/>
      <c r="C47" s="38">
        <f t="shared" si="4"/>
        <v>1540</v>
      </c>
      <c r="D47" s="27">
        <v>9</v>
      </c>
      <c r="E47" s="27">
        <v>2</v>
      </c>
      <c r="F47" s="27">
        <v>15</v>
      </c>
      <c r="G47" s="27">
        <v>16</v>
      </c>
      <c r="H47" s="31">
        <v>0</v>
      </c>
      <c r="I47" s="39">
        <v>2</v>
      </c>
      <c r="J47" s="31">
        <f t="shared" si="3"/>
        <v>1584</v>
      </c>
      <c r="L47" s="1"/>
    </row>
    <row r="48" spans="1:13" ht="15.75">
      <c r="A48" s="24" t="s">
        <v>45</v>
      </c>
      <c r="B48" s="25"/>
      <c r="C48" s="38">
        <f t="shared" si="4"/>
        <v>1540</v>
      </c>
      <c r="D48" s="27">
        <v>9</v>
      </c>
      <c r="E48" s="27">
        <v>2</v>
      </c>
      <c r="F48" s="27">
        <v>15</v>
      </c>
      <c r="G48" s="27">
        <v>16</v>
      </c>
      <c r="H48" s="31">
        <v>0</v>
      </c>
      <c r="I48" s="39">
        <v>2</v>
      </c>
      <c r="J48" s="31">
        <f t="shared" si="3"/>
        <v>1584</v>
      </c>
      <c r="L48" s="1"/>
    </row>
    <row r="49" spans="1:13" ht="15.75">
      <c r="A49" s="24" t="s">
        <v>46</v>
      </c>
      <c r="B49" s="25"/>
      <c r="C49" s="38">
        <f t="shared" si="4"/>
        <v>1540</v>
      </c>
      <c r="D49" s="27">
        <v>9</v>
      </c>
      <c r="E49" s="27">
        <v>2</v>
      </c>
      <c r="F49" s="27">
        <v>15</v>
      </c>
      <c r="G49" s="27">
        <v>16</v>
      </c>
      <c r="H49" s="28">
        <v>0</v>
      </c>
      <c r="I49" s="39">
        <v>2</v>
      </c>
      <c r="J49" s="31">
        <f t="shared" si="3"/>
        <v>1584</v>
      </c>
      <c r="L49" s="1"/>
    </row>
    <row r="50" spans="1:13" ht="15.75">
      <c r="A50" s="9"/>
      <c r="C50" s="18"/>
      <c r="D50" s="11"/>
      <c r="E50" s="11"/>
      <c r="F50" s="11"/>
      <c r="G50" s="11"/>
      <c r="H50" s="11"/>
      <c r="I50" s="11"/>
      <c r="J50" s="22"/>
      <c r="K50" s="40"/>
      <c r="L50" s="17"/>
    </row>
    <row r="51" spans="1:13" ht="15.75">
      <c r="A51" s="9"/>
      <c r="C51" s="18"/>
      <c r="D51" s="11"/>
      <c r="E51" s="11"/>
      <c r="F51" s="11"/>
      <c r="G51" s="11"/>
      <c r="H51" s="11"/>
      <c r="I51" s="11"/>
      <c r="J51" s="22"/>
      <c r="K51" s="19"/>
      <c r="L51" s="17"/>
    </row>
    <row r="52" spans="1:13" ht="15.75">
      <c r="A52" s="6" t="s">
        <v>21</v>
      </c>
      <c r="C52" s="20"/>
      <c r="D52" s="20"/>
      <c r="E52" s="20"/>
      <c r="F52" s="20"/>
      <c r="G52" s="20"/>
      <c r="H52" s="20"/>
      <c r="I52" s="20"/>
      <c r="J52" s="20"/>
      <c r="K52" s="20"/>
      <c r="L52" s="21"/>
    </row>
    <row r="53" spans="1:13" s="25" customFormat="1" ht="15.75">
      <c r="A53" s="24" t="s">
        <v>47</v>
      </c>
      <c r="C53" s="38">
        <f>1469+16</f>
        <v>1485</v>
      </c>
      <c r="D53" s="27">
        <v>9</v>
      </c>
      <c r="E53" s="27">
        <v>2</v>
      </c>
      <c r="F53" s="27">
        <v>15</v>
      </c>
      <c r="G53" s="27">
        <v>16</v>
      </c>
      <c r="H53" s="28">
        <v>0</v>
      </c>
      <c r="I53" s="41">
        <v>2</v>
      </c>
      <c r="J53" s="31">
        <f t="shared" ref="J53:J64" si="5">SUM(C53:I53)</f>
        <v>1529</v>
      </c>
      <c r="M53" s="42"/>
    </row>
    <row r="54" spans="1:13" s="25" customFormat="1" ht="15.75">
      <c r="A54" s="24" t="s">
        <v>24</v>
      </c>
      <c r="C54" s="38">
        <f>1349+16</f>
        <v>1365</v>
      </c>
      <c r="D54" s="27">
        <v>9</v>
      </c>
      <c r="E54" s="27">
        <v>2</v>
      </c>
      <c r="F54" s="27">
        <v>15</v>
      </c>
      <c r="G54" s="27">
        <v>16</v>
      </c>
      <c r="H54" s="28"/>
      <c r="I54" s="41">
        <v>2</v>
      </c>
      <c r="J54" s="31">
        <f t="shared" si="5"/>
        <v>1409</v>
      </c>
      <c r="M54" s="42"/>
    </row>
    <row r="55" spans="1:13" s="25" customFormat="1" ht="15.75">
      <c r="A55" s="24" t="s">
        <v>48</v>
      </c>
      <c r="C55" s="38">
        <f>1349+16</f>
        <v>1365</v>
      </c>
      <c r="D55" s="27">
        <v>9</v>
      </c>
      <c r="E55" s="27">
        <v>2</v>
      </c>
      <c r="F55" s="27">
        <v>15</v>
      </c>
      <c r="G55" s="27">
        <v>16</v>
      </c>
      <c r="H55" s="28"/>
      <c r="I55" s="41">
        <v>2</v>
      </c>
      <c r="J55" s="31">
        <f t="shared" si="5"/>
        <v>1409</v>
      </c>
      <c r="M55" s="42"/>
    </row>
    <row r="56" spans="1:13" s="25" customFormat="1" ht="15.75">
      <c r="A56" s="24" t="s">
        <v>49</v>
      </c>
      <c r="C56" s="38">
        <f>1382+16</f>
        <v>1398</v>
      </c>
      <c r="D56" s="27">
        <v>9</v>
      </c>
      <c r="E56" s="27">
        <v>2</v>
      </c>
      <c r="F56" s="27">
        <v>15</v>
      </c>
      <c r="G56" s="27">
        <v>16</v>
      </c>
      <c r="H56" s="28">
        <v>87</v>
      </c>
      <c r="I56" s="41">
        <v>2</v>
      </c>
      <c r="J56" s="31">
        <f t="shared" si="5"/>
        <v>1529</v>
      </c>
      <c r="M56" s="42"/>
    </row>
    <row r="57" spans="1:13" s="25" customFormat="1" ht="15.75">
      <c r="A57" s="24" t="s">
        <v>50</v>
      </c>
      <c r="C57" s="38">
        <f>1469+16</f>
        <v>1485</v>
      </c>
      <c r="D57" s="27">
        <v>9</v>
      </c>
      <c r="E57" s="27">
        <v>2</v>
      </c>
      <c r="F57" s="27">
        <v>15</v>
      </c>
      <c r="G57" s="27">
        <v>16</v>
      </c>
      <c r="H57" s="28">
        <v>0</v>
      </c>
      <c r="I57" s="41">
        <v>2</v>
      </c>
      <c r="J57" s="31">
        <f t="shared" si="5"/>
        <v>1529</v>
      </c>
      <c r="M57" s="42"/>
    </row>
    <row r="58" spans="1:13" s="25" customFormat="1" ht="15.75">
      <c r="A58" s="24" t="s">
        <v>28</v>
      </c>
      <c r="C58" s="38">
        <f>1369+16</f>
        <v>1385</v>
      </c>
      <c r="D58" s="27">
        <v>9</v>
      </c>
      <c r="E58" s="27">
        <v>2</v>
      </c>
      <c r="F58" s="27">
        <v>15</v>
      </c>
      <c r="G58" s="27">
        <v>16</v>
      </c>
      <c r="H58" s="28"/>
      <c r="I58" s="41">
        <v>2</v>
      </c>
      <c r="J58" s="31">
        <f t="shared" si="5"/>
        <v>1429</v>
      </c>
      <c r="M58" s="42"/>
    </row>
    <row r="59" spans="1:13" s="25" customFormat="1" ht="15.75">
      <c r="A59" s="24" t="s">
        <v>29</v>
      </c>
      <c r="C59" s="38">
        <f>1369+16</f>
        <v>1385</v>
      </c>
      <c r="D59" s="27">
        <v>9</v>
      </c>
      <c r="E59" s="27">
        <v>2</v>
      </c>
      <c r="F59" s="27">
        <v>15</v>
      </c>
      <c r="G59" s="27">
        <v>16</v>
      </c>
      <c r="H59" s="28"/>
      <c r="I59" s="41">
        <v>2</v>
      </c>
      <c r="J59" s="31">
        <f t="shared" si="5"/>
        <v>1429</v>
      </c>
      <c r="M59" s="42"/>
    </row>
    <row r="60" spans="1:13" s="25" customFormat="1" ht="15.75">
      <c r="A60" s="24" t="s">
        <v>30</v>
      </c>
      <c r="C60" s="38">
        <f>1369+16</f>
        <v>1385</v>
      </c>
      <c r="D60" s="27">
        <v>9</v>
      </c>
      <c r="E60" s="27">
        <v>2</v>
      </c>
      <c r="F60" s="27">
        <v>15</v>
      </c>
      <c r="G60" s="27">
        <v>16</v>
      </c>
      <c r="H60" s="28"/>
      <c r="I60" s="41">
        <v>2</v>
      </c>
      <c r="J60" s="31">
        <f t="shared" si="5"/>
        <v>1429</v>
      </c>
      <c r="M60" s="42"/>
    </row>
    <row r="61" spans="1:13" ht="15.75">
      <c r="A61" s="24" t="s">
        <v>31</v>
      </c>
      <c r="B61" s="25"/>
      <c r="C61" s="38">
        <f>1369+16</f>
        <v>1385</v>
      </c>
      <c r="D61" s="27">
        <v>9</v>
      </c>
      <c r="E61" s="27">
        <v>2</v>
      </c>
      <c r="F61" s="27">
        <v>15</v>
      </c>
      <c r="G61" s="27">
        <v>16</v>
      </c>
      <c r="H61" s="28"/>
      <c r="I61" s="41">
        <v>2</v>
      </c>
      <c r="J61" s="31">
        <f t="shared" si="5"/>
        <v>1429</v>
      </c>
      <c r="K61" s="25"/>
      <c r="L61" s="25"/>
      <c r="M61" s="42"/>
    </row>
    <row r="62" spans="1:13" ht="15.75">
      <c r="A62" s="24" t="s">
        <v>32</v>
      </c>
      <c r="B62" s="25"/>
      <c r="C62" s="38">
        <f>1369+16</f>
        <v>1385</v>
      </c>
      <c r="D62" s="27">
        <v>9</v>
      </c>
      <c r="E62" s="27">
        <v>2</v>
      </c>
      <c r="F62" s="27">
        <v>15</v>
      </c>
      <c r="G62" s="27">
        <v>16</v>
      </c>
      <c r="H62" s="28"/>
      <c r="I62" s="41">
        <v>2</v>
      </c>
      <c r="J62" s="31">
        <f t="shared" si="5"/>
        <v>1429</v>
      </c>
      <c r="K62" s="25"/>
      <c r="L62" s="25"/>
      <c r="M62" s="42"/>
    </row>
    <row r="63" spans="1:13" ht="15.75">
      <c r="A63" s="24" t="s">
        <v>33</v>
      </c>
      <c r="B63" s="25"/>
      <c r="C63" s="38">
        <f>1349+16</f>
        <v>1365</v>
      </c>
      <c r="D63" s="27">
        <v>9</v>
      </c>
      <c r="E63" s="27">
        <v>2</v>
      </c>
      <c r="F63" s="27">
        <v>15</v>
      </c>
      <c r="G63" s="27">
        <v>16</v>
      </c>
      <c r="H63" s="28"/>
      <c r="I63" s="41">
        <v>2</v>
      </c>
      <c r="J63" s="31">
        <f t="shared" si="5"/>
        <v>1409</v>
      </c>
      <c r="K63" s="25"/>
      <c r="L63" s="25"/>
      <c r="M63" s="42"/>
    </row>
    <row r="64" spans="1:13" ht="15.75">
      <c r="A64" s="43" t="s">
        <v>51</v>
      </c>
      <c r="B64" s="44"/>
      <c r="C64" s="38">
        <f>4050+100</f>
        <v>4150</v>
      </c>
      <c r="D64" s="27">
        <v>80</v>
      </c>
      <c r="E64" s="27">
        <v>20</v>
      </c>
      <c r="F64" s="27">
        <v>100</v>
      </c>
      <c r="G64" s="27">
        <v>200</v>
      </c>
      <c r="H64" s="28"/>
      <c r="I64" s="41">
        <v>2</v>
      </c>
      <c r="J64" s="31">
        <f t="shared" si="5"/>
        <v>4552</v>
      </c>
      <c r="K64" s="25"/>
      <c r="L64" s="25"/>
      <c r="M64" s="42"/>
    </row>
    <row r="65" spans="1:15" ht="15.75">
      <c r="B65" s="25"/>
      <c r="C65" s="38"/>
      <c r="D65" s="27"/>
      <c r="E65" s="27"/>
      <c r="F65" s="27"/>
      <c r="G65" s="27"/>
      <c r="H65" s="27"/>
      <c r="I65" s="27"/>
      <c r="J65" s="28"/>
      <c r="K65" s="41"/>
      <c r="L65" s="31"/>
      <c r="M65" s="25"/>
      <c r="N65" s="25"/>
      <c r="O65" s="25"/>
    </row>
    <row r="66" spans="1:15" ht="15.75">
      <c r="B66" s="25"/>
      <c r="C66" s="38"/>
      <c r="D66" s="27"/>
      <c r="E66" s="27"/>
      <c r="F66" s="27"/>
      <c r="G66" s="27"/>
      <c r="H66" s="27"/>
      <c r="I66" s="27"/>
      <c r="J66" s="28"/>
      <c r="K66" s="41"/>
      <c r="L66" s="31"/>
      <c r="M66" s="25"/>
      <c r="N66" s="25"/>
      <c r="O66" s="25"/>
    </row>
    <row r="67" spans="1:15" ht="15.75">
      <c r="B67" s="25"/>
      <c r="C67" s="38"/>
      <c r="D67" s="27"/>
      <c r="E67" s="27"/>
      <c r="F67" s="27"/>
      <c r="G67" s="27"/>
      <c r="H67" s="27"/>
      <c r="I67" s="27"/>
      <c r="J67" s="28"/>
      <c r="K67" s="41"/>
      <c r="L67" s="31"/>
      <c r="M67" s="25"/>
      <c r="N67" s="25"/>
      <c r="O67" s="25"/>
    </row>
    <row r="68" spans="1:15" ht="15.75">
      <c r="B68" s="25"/>
      <c r="C68" s="38"/>
      <c r="D68" s="27"/>
      <c r="E68" s="27"/>
      <c r="F68" s="27"/>
      <c r="G68" s="27"/>
      <c r="H68" s="27"/>
      <c r="I68" s="27"/>
      <c r="J68" s="28"/>
      <c r="K68" s="41"/>
      <c r="L68" s="31"/>
      <c r="M68" s="25"/>
      <c r="N68" s="25"/>
      <c r="O68" s="25"/>
    </row>
    <row r="69" spans="1:15" ht="15.75">
      <c r="A69" s="6" t="s">
        <v>2</v>
      </c>
      <c r="C69" s="20"/>
      <c r="D69" s="20"/>
      <c r="E69" s="20"/>
      <c r="F69" s="20"/>
      <c r="G69" s="20"/>
      <c r="H69" s="20"/>
      <c r="I69" s="20"/>
      <c r="J69" s="20"/>
      <c r="K69" s="20"/>
      <c r="L69" s="31"/>
    </row>
    <row r="70" spans="1:15" ht="15.75">
      <c r="A70" s="33" t="s">
        <v>36</v>
      </c>
      <c r="C70" s="18">
        <f>3080+16</f>
        <v>3096</v>
      </c>
      <c r="D70" s="27">
        <v>9</v>
      </c>
      <c r="E70" s="11">
        <v>2</v>
      </c>
      <c r="F70" s="27">
        <v>15</v>
      </c>
      <c r="G70" s="27">
        <v>16</v>
      </c>
      <c r="H70" s="17">
        <v>0</v>
      </c>
      <c r="I70" s="19">
        <v>2</v>
      </c>
      <c r="J70" s="31">
        <f>SUM(C70:I70)</f>
        <v>3140</v>
      </c>
      <c r="L70" s="1"/>
      <c r="M70" s="16"/>
    </row>
    <row r="71" spans="1:15" ht="15.75">
      <c r="A71" s="9"/>
      <c r="C71" s="20"/>
      <c r="D71" s="20"/>
      <c r="E71" s="20"/>
      <c r="F71" s="20"/>
      <c r="G71" s="20"/>
      <c r="H71" s="20"/>
      <c r="I71" s="20"/>
      <c r="J71" s="20"/>
      <c r="K71" s="20"/>
    </row>
    <row r="72" spans="1:15" ht="15.75">
      <c r="A72" s="9"/>
    </row>
    <row r="74" spans="1:15" ht="15.75">
      <c r="A74" s="33"/>
    </row>
    <row r="75" spans="1:15" ht="15.75">
      <c r="A75" s="33"/>
    </row>
    <row r="76" spans="1:15" ht="20.25">
      <c r="A76" s="299" t="s">
        <v>37</v>
      </c>
      <c r="B76" s="299"/>
      <c r="C76" s="299"/>
      <c r="D76" s="299"/>
      <c r="E76" s="299"/>
      <c r="F76" s="299"/>
      <c r="G76" s="299"/>
      <c r="H76" s="299"/>
      <c r="I76" s="299"/>
      <c r="J76" s="299"/>
      <c r="K76" s="68"/>
      <c r="L76" s="68"/>
    </row>
    <row r="77" spans="1:15" ht="22.5">
      <c r="A77" s="300" t="s">
        <v>52</v>
      </c>
      <c r="B77" s="300"/>
      <c r="C77" s="300"/>
      <c r="D77" s="300"/>
      <c r="E77" s="300"/>
      <c r="F77" s="300"/>
      <c r="G77" s="300"/>
      <c r="H77" s="300"/>
      <c r="I77" s="300"/>
      <c r="J77" s="300"/>
      <c r="K77" s="294"/>
      <c r="L77" s="294"/>
    </row>
    <row r="78" spans="1:15" ht="42.75">
      <c r="A78" s="302" t="s">
        <v>2</v>
      </c>
      <c r="B78" s="302"/>
      <c r="C78" s="2" t="s">
        <v>3</v>
      </c>
      <c r="D78" s="3" t="s">
        <v>4</v>
      </c>
      <c r="E78" s="4" t="s">
        <v>5</v>
      </c>
      <c r="F78" s="4" t="s">
        <v>6</v>
      </c>
      <c r="G78" s="4" t="s">
        <v>7</v>
      </c>
      <c r="H78" s="4" t="s">
        <v>8</v>
      </c>
      <c r="I78" s="4" t="s">
        <v>9</v>
      </c>
      <c r="J78" s="5" t="s">
        <v>10</v>
      </c>
      <c r="L78" s="1"/>
    </row>
    <row r="79" spans="1:15" ht="15.75">
      <c r="A79" s="45"/>
      <c r="B79" s="46"/>
      <c r="C79" s="35" t="s">
        <v>12</v>
      </c>
      <c r="D79" s="35" t="s">
        <v>12</v>
      </c>
      <c r="E79" s="35" t="s">
        <v>12</v>
      </c>
      <c r="F79" s="7" t="s">
        <v>12</v>
      </c>
      <c r="G79" s="7" t="s">
        <v>12</v>
      </c>
      <c r="H79" s="35" t="s">
        <v>12</v>
      </c>
      <c r="I79" s="35" t="s">
        <v>12</v>
      </c>
      <c r="J79" s="37" t="s">
        <v>12</v>
      </c>
      <c r="L79" s="1"/>
    </row>
    <row r="80" spans="1:15" ht="15.75">
      <c r="A80" s="33" t="s">
        <v>11</v>
      </c>
      <c r="C80" s="47">
        <f>(2182*1.03)+100</f>
        <v>2347.46</v>
      </c>
      <c r="D80" s="21">
        <v>80</v>
      </c>
      <c r="E80" s="21">
        <v>20</v>
      </c>
      <c r="F80" s="21">
        <v>0</v>
      </c>
      <c r="G80" s="21">
        <v>220</v>
      </c>
      <c r="H80" s="21">
        <v>0</v>
      </c>
      <c r="I80" s="13">
        <v>13</v>
      </c>
      <c r="J80" s="48">
        <f>SUM(C80:I80)</f>
        <v>2680.46</v>
      </c>
      <c r="L80" s="1"/>
      <c r="M80" s="15"/>
    </row>
    <row r="81" spans="1:13" ht="15.75">
      <c r="A81" s="33" t="s">
        <v>53</v>
      </c>
      <c r="C81" s="47">
        <f>(1892*1.03)+100</f>
        <v>2048.7600000000002</v>
      </c>
      <c r="D81" s="49">
        <v>80</v>
      </c>
      <c r="E81" s="21">
        <v>20</v>
      </c>
      <c r="F81" s="49">
        <v>0</v>
      </c>
      <c r="G81" s="49">
        <v>220</v>
      </c>
      <c r="H81" s="50">
        <v>0</v>
      </c>
      <c r="I81" s="13">
        <v>13</v>
      </c>
      <c r="J81" s="48">
        <f>SUM(C81:I81)</f>
        <v>2381.7600000000002</v>
      </c>
      <c r="L81" s="1"/>
      <c r="M81" s="15"/>
    </row>
    <row r="82" spans="1:13" ht="15.75">
      <c r="A82" s="9"/>
      <c r="C82" s="51"/>
      <c r="D82" s="49"/>
      <c r="E82" s="20"/>
      <c r="F82" s="49"/>
      <c r="G82" s="49"/>
      <c r="H82" s="49"/>
      <c r="I82" s="49"/>
      <c r="J82" s="50"/>
      <c r="K82" s="20"/>
    </row>
    <row r="83" spans="1:13" ht="15.75">
      <c r="A83" s="9"/>
      <c r="C83" s="51"/>
      <c r="D83" s="49"/>
      <c r="E83" s="20"/>
      <c r="F83" s="49"/>
      <c r="G83" s="49"/>
      <c r="H83" s="49"/>
      <c r="I83" s="49"/>
      <c r="J83" s="50"/>
      <c r="K83" s="20"/>
    </row>
    <row r="84" spans="1:13" ht="15.75">
      <c r="A84" s="9"/>
      <c r="C84" s="52"/>
    </row>
    <row r="85" spans="1:13" ht="15.75">
      <c r="A85" s="9"/>
      <c r="C85" s="52"/>
    </row>
    <row r="86" spans="1:13" ht="15.75">
      <c r="A86" s="9"/>
      <c r="C86" s="52"/>
    </row>
    <row r="87" spans="1:13" ht="20.25">
      <c r="A87" s="299" t="s">
        <v>37</v>
      </c>
      <c r="B87" s="299"/>
      <c r="C87" s="299"/>
      <c r="D87" s="299"/>
      <c r="E87" s="299"/>
      <c r="F87" s="299"/>
      <c r="G87" s="299"/>
      <c r="H87" s="299"/>
      <c r="I87" s="299"/>
      <c r="J87" s="299"/>
      <c r="K87" s="68"/>
      <c r="L87" s="68"/>
    </row>
    <row r="88" spans="1:13" ht="20.25">
      <c r="A88" s="299" t="s">
        <v>54</v>
      </c>
      <c r="B88" s="299"/>
      <c r="C88" s="299"/>
      <c r="D88" s="299"/>
      <c r="E88" s="299"/>
      <c r="F88" s="299"/>
      <c r="G88" s="299"/>
      <c r="H88" s="299"/>
      <c r="I88" s="299"/>
      <c r="J88" s="299"/>
      <c r="K88" s="68"/>
      <c r="L88" s="68"/>
    </row>
    <row r="89" spans="1:13" ht="42.75">
      <c r="A89" s="302" t="s">
        <v>2</v>
      </c>
      <c r="B89" s="302"/>
      <c r="C89" s="2" t="s">
        <v>3</v>
      </c>
      <c r="D89" s="3" t="s">
        <v>4</v>
      </c>
      <c r="E89" s="4" t="s">
        <v>5</v>
      </c>
      <c r="F89" s="4" t="s">
        <v>6</v>
      </c>
      <c r="G89" s="4" t="s">
        <v>7</v>
      </c>
      <c r="H89" s="4" t="s">
        <v>8</v>
      </c>
      <c r="I89" s="4" t="s">
        <v>9</v>
      </c>
      <c r="J89" s="5" t="s">
        <v>10</v>
      </c>
      <c r="L89" s="1"/>
    </row>
    <row r="90" spans="1:13" ht="15.75">
      <c r="A90" s="45"/>
      <c r="B90" s="46"/>
      <c r="C90" s="35" t="s">
        <v>12</v>
      </c>
      <c r="D90" s="35" t="s">
        <v>12</v>
      </c>
      <c r="E90" s="35" t="s">
        <v>12</v>
      </c>
      <c r="F90" s="7" t="s">
        <v>12</v>
      </c>
      <c r="G90" s="7" t="s">
        <v>12</v>
      </c>
      <c r="H90" s="35" t="s">
        <v>12</v>
      </c>
      <c r="I90" s="35" t="s">
        <v>12</v>
      </c>
      <c r="J90" s="37" t="s">
        <v>12</v>
      </c>
      <c r="L90" s="1"/>
    </row>
    <row r="91" spans="1:13" ht="15.75">
      <c r="A91" s="33" t="s">
        <v>11</v>
      </c>
      <c r="C91" s="47">
        <f>(1558*1.03)+100</f>
        <v>1704.74</v>
      </c>
      <c r="D91" s="47">
        <v>80</v>
      </c>
      <c r="E91" s="47">
        <v>20</v>
      </c>
      <c r="F91" s="53">
        <v>120</v>
      </c>
      <c r="G91" s="53">
        <v>220</v>
      </c>
      <c r="H91" s="54">
        <v>0</v>
      </c>
      <c r="I91" s="55">
        <v>13</v>
      </c>
      <c r="J91" s="47">
        <f>SUM(C91:I91)</f>
        <v>2157.7399999999998</v>
      </c>
      <c r="L91" s="1"/>
      <c r="M91" s="15"/>
    </row>
    <row r="95" spans="1:13" ht="20.25">
      <c r="A95" s="299" t="s">
        <v>37</v>
      </c>
      <c r="B95" s="299"/>
      <c r="C95" s="299"/>
      <c r="D95" s="299"/>
      <c r="E95" s="299"/>
      <c r="F95" s="299"/>
      <c r="G95" s="299"/>
      <c r="H95" s="299"/>
      <c r="I95" s="299"/>
      <c r="J95" s="299"/>
      <c r="K95" s="56"/>
    </row>
    <row r="96" spans="1:13" ht="18.75">
      <c r="A96" s="303" t="s">
        <v>55</v>
      </c>
      <c r="B96" s="303"/>
      <c r="C96" s="303"/>
      <c r="D96" s="303"/>
      <c r="E96" s="303"/>
      <c r="F96" s="303"/>
      <c r="G96" s="303"/>
      <c r="H96" s="303"/>
      <c r="I96" s="303"/>
      <c r="J96" s="303"/>
      <c r="K96" s="57"/>
    </row>
    <row r="97" spans="1:12" ht="42.75">
      <c r="A97" s="304" t="s">
        <v>2</v>
      </c>
      <c r="B97" s="304"/>
      <c r="C97" s="2" t="s">
        <v>3</v>
      </c>
      <c r="D97" s="3" t="s">
        <v>4</v>
      </c>
      <c r="E97" s="4" t="s">
        <v>5</v>
      </c>
      <c r="F97" s="4" t="s">
        <v>6</v>
      </c>
      <c r="G97" s="4" t="s">
        <v>7</v>
      </c>
      <c r="H97" s="4" t="s">
        <v>9</v>
      </c>
      <c r="I97" s="58" t="s">
        <v>10</v>
      </c>
      <c r="J97" s="58"/>
      <c r="L97" s="1"/>
    </row>
    <row r="98" spans="1:12" ht="15.75">
      <c r="A98" s="45"/>
      <c r="B98" s="46"/>
      <c r="C98" s="35" t="s">
        <v>39</v>
      </c>
      <c r="D98" s="35" t="s">
        <v>39</v>
      </c>
      <c r="E98" s="35" t="s">
        <v>39</v>
      </c>
      <c r="F98" s="35" t="s">
        <v>39</v>
      </c>
      <c r="G98" s="35" t="s">
        <v>39</v>
      </c>
      <c r="H98" s="35" t="s">
        <v>39</v>
      </c>
      <c r="I98" s="35" t="s">
        <v>39</v>
      </c>
      <c r="J98" s="12"/>
      <c r="L98" s="1"/>
    </row>
    <row r="99" spans="1:12" ht="15.75">
      <c r="A99" s="33" t="s">
        <v>11</v>
      </c>
      <c r="C99" s="51">
        <f>439+16</f>
        <v>455</v>
      </c>
      <c r="D99" s="51">
        <v>9</v>
      </c>
      <c r="E99" s="51">
        <v>2</v>
      </c>
      <c r="F99" s="52">
        <v>0</v>
      </c>
      <c r="G99" s="52">
        <v>16</v>
      </c>
      <c r="H99" s="49">
        <v>2</v>
      </c>
      <c r="I99" s="51">
        <f>SUM(C99:H99)</f>
        <v>484</v>
      </c>
      <c r="J99" s="12"/>
      <c r="L99" s="59"/>
    </row>
    <row r="100" spans="1:12">
      <c r="J100" s="12"/>
      <c r="L100" s="1"/>
    </row>
    <row r="106" spans="1:12" ht="25.5">
      <c r="A106" s="301" t="s">
        <v>56</v>
      </c>
      <c r="B106" s="301"/>
      <c r="C106" s="301"/>
      <c r="D106" s="301"/>
      <c r="E106" s="301"/>
      <c r="F106" s="301"/>
      <c r="G106" s="301"/>
      <c r="H106" s="301"/>
      <c r="I106" s="60"/>
    </row>
    <row r="107" spans="1:12" ht="18.75">
      <c r="A107" s="303" t="s">
        <v>0</v>
      </c>
      <c r="B107" s="303"/>
      <c r="C107" s="303"/>
      <c r="D107" s="303"/>
      <c r="E107" s="303"/>
      <c r="F107" s="303"/>
      <c r="G107" s="303"/>
      <c r="H107" s="303"/>
      <c r="I107" s="57"/>
    </row>
    <row r="108" spans="1:12" ht="20.25">
      <c r="A108" s="305" t="s">
        <v>57</v>
      </c>
      <c r="B108" s="305"/>
      <c r="C108" s="305"/>
      <c r="D108" s="305"/>
      <c r="E108" s="305"/>
      <c r="F108" s="305"/>
      <c r="G108" s="305"/>
      <c r="H108" s="305"/>
      <c r="I108" s="61"/>
    </row>
    <row r="109" spans="1:12" ht="42.75">
      <c r="A109" s="61"/>
      <c r="B109" s="61"/>
      <c r="C109" s="2" t="s">
        <v>3</v>
      </c>
      <c r="D109" s="4" t="s">
        <v>58</v>
      </c>
      <c r="E109" s="4" t="s">
        <v>6</v>
      </c>
      <c r="F109" s="4" t="s">
        <v>7</v>
      </c>
      <c r="G109" s="4" t="s">
        <v>9</v>
      </c>
      <c r="H109" s="58" t="s">
        <v>10</v>
      </c>
      <c r="J109" s="12"/>
      <c r="L109" s="1"/>
    </row>
    <row r="110" spans="1:12" ht="20.25">
      <c r="A110" s="61"/>
      <c r="B110" s="61"/>
      <c r="C110" s="62" t="s">
        <v>12</v>
      </c>
      <c r="D110" s="62" t="s">
        <v>12</v>
      </c>
      <c r="E110" s="62" t="s">
        <v>12</v>
      </c>
      <c r="F110" s="62" t="s">
        <v>12</v>
      </c>
      <c r="G110" s="35" t="s">
        <v>12</v>
      </c>
      <c r="H110" s="62" t="s">
        <v>12</v>
      </c>
      <c r="J110" s="12"/>
      <c r="L110" s="1"/>
    </row>
    <row r="111" spans="1:12">
      <c r="A111" s="1" t="s">
        <v>59</v>
      </c>
      <c r="C111" s="63">
        <f>(2949*1.06)+100</f>
        <v>3225.94</v>
      </c>
      <c r="D111" s="1">
        <v>100</v>
      </c>
      <c r="E111" s="1">
        <v>120</v>
      </c>
      <c r="F111" s="1">
        <v>220</v>
      </c>
      <c r="G111" s="64">
        <v>13</v>
      </c>
      <c r="H111" s="64">
        <f>SUM(C111:G111)</f>
        <v>3678.94</v>
      </c>
      <c r="J111" s="12"/>
      <c r="K111" s="15"/>
      <c r="L111" s="1"/>
    </row>
    <row r="112" spans="1:12">
      <c r="A112" s="1" t="s">
        <v>60</v>
      </c>
      <c r="C112" s="63">
        <f>(2949*1.06)+100</f>
        <v>3225.94</v>
      </c>
      <c r="D112" s="1">
        <v>100</v>
      </c>
      <c r="E112" s="1">
        <v>120</v>
      </c>
      <c r="F112" s="1">
        <v>220</v>
      </c>
      <c r="G112" s="64">
        <v>13</v>
      </c>
      <c r="H112" s="64">
        <f>SUM(C112:G112)</f>
        <v>3678.94</v>
      </c>
      <c r="J112" s="12"/>
      <c r="K112" s="15"/>
      <c r="L112" s="1"/>
    </row>
    <row r="114" spans="1:12">
      <c r="J114" s="15"/>
      <c r="K114" s="15"/>
    </row>
    <row r="115" spans="1:12">
      <c r="L115" s="1"/>
    </row>
    <row r="116" spans="1:12">
      <c r="L116" s="1"/>
    </row>
    <row r="118" spans="1:12" ht="18.75">
      <c r="A118" s="306" t="s">
        <v>61</v>
      </c>
      <c r="B118" s="306"/>
      <c r="C118" s="306"/>
      <c r="D118" s="306"/>
      <c r="E118" s="306"/>
      <c r="F118" s="306"/>
      <c r="G118" s="306"/>
      <c r="H118" s="306"/>
      <c r="I118" s="306"/>
    </row>
    <row r="119" spans="1:12" ht="42.75">
      <c r="B119" s="65" t="s">
        <v>3</v>
      </c>
      <c r="C119" s="65" t="s">
        <v>3</v>
      </c>
      <c r="D119" s="3" t="s">
        <v>4</v>
      </c>
      <c r="E119" s="4" t="s">
        <v>5</v>
      </c>
      <c r="F119" s="4" t="s">
        <v>7</v>
      </c>
      <c r="G119" s="4" t="s">
        <v>7</v>
      </c>
      <c r="H119" s="4" t="s">
        <v>9</v>
      </c>
      <c r="I119" s="5" t="s">
        <v>10</v>
      </c>
      <c r="K119" s="12"/>
      <c r="L119" s="1"/>
    </row>
    <row r="120" spans="1:12" ht="18.75">
      <c r="B120" s="66" t="s">
        <v>39</v>
      </c>
      <c r="C120" s="66" t="s">
        <v>39</v>
      </c>
      <c r="D120" s="35" t="s">
        <v>39</v>
      </c>
      <c r="E120" s="35" t="s">
        <v>39</v>
      </c>
      <c r="F120" s="66" t="s">
        <v>39</v>
      </c>
      <c r="G120" s="66" t="s">
        <v>39</v>
      </c>
      <c r="H120" s="66" t="s">
        <v>39</v>
      </c>
      <c r="I120" s="66" t="s">
        <v>39</v>
      </c>
      <c r="K120" s="12"/>
      <c r="L120" s="1"/>
    </row>
    <row r="121" spans="1:12">
      <c r="A121" s="1" t="s">
        <v>59</v>
      </c>
      <c r="B121" s="63">
        <v>430</v>
      </c>
      <c r="C121" s="63">
        <f>430+8+8</f>
        <v>446</v>
      </c>
      <c r="D121" s="47">
        <v>9</v>
      </c>
      <c r="E121" s="47">
        <v>2</v>
      </c>
      <c r="F121" s="63">
        <v>15</v>
      </c>
      <c r="G121" s="63">
        <v>16</v>
      </c>
      <c r="H121" s="67">
        <v>2</v>
      </c>
      <c r="I121" s="67">
        <f>SUM(C121:H121)</f>
        <v>490</v>
      </c>
      <c r="K121" s="12"/>
      <c r="L121" s="1"/>
    </row>
    <row r="122" spans="1:12">
      <c r="A122" s="1" t="s">
        <v>60</v>
      </c>
      <c r="B122" s="63">
        <v>430</v>
      </c>
      <c r="C122" s="63">
        <f>430+8+8</f>
        <v>446</v>
      </c>
      <c r="D122" s="63">
        <v>9</v>
      </c>
      <c r="E122" s="63">
        <v>2</v>
      </c>
      <c r="F122" s="63">
        <v>15</v>
      </c>
      <c r="G122" s="63">
        <v>16</v>
      </c>
      <c r="H122" s="67">
        <v>2</v>
      </c>
      <c r="I122" s="67">
        <f>SUM(C122:H122)</f>
        <v>490</v>
      </c>
      <c r="K122" s="12"/>
      <c r="L122" s="1"/>
    </row>
    <row r="123" spans="1:12">
      <c r="A123" s="12"/>
      <c r="B123" s="12"/>
      <c r="C123" s="12"/>
      <c r="D123" s="12"/>
      <c r="E123" s="12"/>
      <c r="F123" s="12"/>
      <c r="G123" s="12"/>
    </row>
  </sheetData>
  <mergeCells count="20">
    <mergeCell ref="A107:H107"/>
    <mergeCell ref="A108:H108"/>
    <mergeCell ref="A118:I118"/>
    <mergeCell ref="A3:B3"/>
    <mergeCell ref="A31:B31"/>
    <mergeCell ref="A41:B41"/>
    <mergeCell ref="A78:B78"/>
    <mergeCell ref="A1:J1"/>
    <mergeCell ref="A2:J2"/>
    <mergeCell ref="A39:J39"/>
    <mergeCell ref="A40:J40"/>
    <mergeCell ref="A76:J76"/>
    <mergeCell ref="A77:J77"/>
    <mergeCell ref="A87:J87"/>
    <mergeCell ref="A88:J88"/>
    <mergeCell ref="A106:H106"/>
    <mergeCell ref="A89:B89"/>
    <mergeCell ref="A95:J95"/>
    <mergeCell ref="A96:J96"/>
    <mergeCell ref="A97:B9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B677-B128-40C0-9765-7DF58C3072E2}">
  <dimension ref="A1:Q85"/>
  <sheetViews>
    <sheetView topLeftCell="A52" workbookViewId="0">
      <selection activeCell="A44" sqref="A44:H44"/>
    </sheetView>
  </sheetViews>
  <sheetFormatPr defaultRowHeight="15"/>
  <cols>
    <col min="1" max="1" width="35.42578125" customWidth="1"/>
    <col min="2" max="2" width="12.5703125" style="69" customWidth="1"/>
    <col min="3" max="3" width="15" bestFit="1" customWidth="1"/>
    <col min="4" max="5" width="14.42578125" customWidth="1"/>
    <col min="6" max="6" width="11.140625" customWidth="1"/>
    <col min="7" max="7" width="11.5703125" style="170" customWidth="1"/>
    <col min="8" max="8" width="11.5703125" customWidth="1"/>
    <col min="9" max="9" width="13.7109375" customWidth="1"/>
    <col min="10" max="10" width="10.7109375" customWidth="1"/>
    <col min="11" max="11" width="12" customWidth="1"/>
    <col min="12" max="12" width="15" bestFit="1" customWidth="1"/>
    <col min="13" max="13" width="15.7109375" customWidth="1"/>
    <col min="14" max="14" width="16.28515625" customWidth="1"/>
    <col min="15" max="15" width="12.7109375" customWidth="1"/>
    <col min="16" max="16" width="9.7109375" style="170" customWidth="1"/>
    <col min="17" max="17" width="9.42578125" customWidth="1"/>
    <col min="18" max="18" width="11" customWidth="1"/>
  </cols>
  <sheetData>
    <row r="1" spans="1:17" ht="33.75" customHeight="1">
      <c r="A1" s="308" t="s">
        <v>220</v>
      </c>
      <c r="B1" s="308"/>
      <c r="C1" s="308"/>
      <c r="D1" s="308"/>
      <c r="E1" s="308"/>
      <c r="F1" s="308"/>
      <c r="G1" s="308"/>
      <c r="H1" s="308"/>
    </row>
    <row r="2" spans="1:17" ht="18.75">
      <c r="A2" s="330" t="s">
        <v>221</v>
      </c>
      <c r="B2" s="330"/>
      <c r="C2" s="330"/>
      <c r="D2" s="330"/>
      <c r="E2" s="330"/>
      <c r="F2" s="330"/>
      <c r="G2" s="330"/>
      <c r="H2" s="330"/>
    </row>
    <row r="3" spans="1:17" ht="23.25">
      <c r="A3" s="331" t="s">
        <v>222</v>
      </c>
      <c r="B3" s="331"/>
      <c r="C3" s="331"/>
      <c r="D3" s="331"/>
      <c r="E3" s="331"/>
      <c r="F3" s="331"/>
      <c r="G3" s="331"/>
      <c r="H3" s="160"/>
    </row>
    <row r="4" spans="1:17" ht="36.75">
      <c r="A4" s="170" t="s">
        <v>2</v>
      </c>
      <c r="B4" s="251" t="s">
        <v>3</v>
      </c>
      <c r="C4" s="209" t="s">
        <v>223</v>
      </c>
      <c r="D4" s="4" t="s">
        <v>6</v>
      </c>
      <c r="E4" s="4" t="s">
        <v>9</v>
      </c>
      <c r="F4" s="133" t="s">
        <v>7</v>
      </c>
      <c r="G4" s="209" t="s">
        <v>10</v>
      </c>
      <c r="H4" s="252" t="s">
        <v>224</v>
      </c>
      <c r="I4" s="160"/>
      <c r="P4"/>
      <c r="Q4" s="170"/>
    </row>
    <row r="5" spans="1:17" ht="15.75">
      <c r="A5" s="170" t="s">
        <v>57</v>
      </c>
      <c r="B5" s="253" t="s">
        <v>12</v>
      </c>
      <c r="C5" s="254" t="s">
        <v>12</v>
      </c>
      <c r="D5" s="255" t="s">
        <v>12</v>
      </c>
      <c r="E5" s="255" t="s">
        <v>12</v>
      </c>
      <c r="F5" s="255" t="s">
        <v>12</v>
      </c>
      <c r="G5" s="254" t="s">
        <v>12</v>
      </c>
      <c r="H5" s="256" t="s">
        <v>12</v>
      </c>
      <c r="I5" s="160" t="s">
        <v>225</v>
      </c>
      <c r="P5"/>
      <c r="Q5" s="170"/>
    </row>
    <row r="6" spans="1:17">
      <c r="A6" t="s">
        <v>226</v>
      </c>
      <c r="B6" s="166">
        <f>(20421*1.03)+200</f>
        <v>21233.63</v>
      </c>
      <c r="C6" s="69">
        <v>400</v>
      </c>
      <c r="D6" s="69">
        <v>480</v>
      </c>
      <c r="E6" s="69">
        <v>52</v>
      </c>
      <c r="F6" s="69">
        <v>220</v>
      </c>
      <c r="G6" s="257">
        <f t="shared" ref="G6:G25" si="0">SUM(B6:F6)</f>
        <v>22385.63</v>
      </c>
      <c r="H6" s="258">
        <f>(B6+C6+D6+E6)/4+F6</f>
        <v>5761.4075000000003</v>
      </c>
      <c r="I6" s="170" t="s">
        <v>227</v>
      </c>
      <c r="J6" s="69"/>
      <c r="K6" s="84"/>
      <c r="L6" s="69"/>
      <c r="M6" s="124"/>
      <c r="P6"/>
      <c r="Q6" s="170"/>
    </row>
    <row r="7" spans="1:17">
      <c r="A7" t="s">
        <v>228</v>
      </c>
      <c r="B7" s="166">
        <f>(18379*1.03)+200</f>
        <v>19130.37</v>
      </c>
      <c r="C7" s="69">
        <v>400</v>
      </c>
      <c r="D7" s="69">
        <v>480</v>
      </c>
      <c r="E7" s="69">
        <v>52</v>
      </c>
      <c r="F7" s="69">
        <v>220</v>
      </c>
      <c r="G7" s="257">
        <f t="shared" si="0"/>
        <v>20282.37</v>
      </c>
      <c r="H7" s="258">
        <f t="shared" ref="H7:H36" si="1">(B7+C7+D7+E7)/4+F7</f>
        <v>5235.5924999999997</v>
      </c>
      <c r="J7" s="69"/>
      <c r="K7" s="84"/>
      <c r="L7" s="69"/>
      <c r="N7" s="69"/>
      <c r="O7" s="69"/>
      <c r="P7"/>
      <c r="Q7" s="170"/>
    </row>
    <row r="8" spans="1:17">
      <c r="A8" s="214" t="s">
        <v>229</v>
      </c>
      <c r="B8" s="166">
        <f>(22371*1.03)+200</f>
        <v>23242.13</v>
      </c>
      <c r="C8" s="69">
        <v>400</v>
      </c>
      <c r="D8" s="69">
        <v>480</v>
      </c>
      <c r="E8" s="69">
        <v>52</v>
      </c>
      <c r="F8" s="69">
        <v>220</v>
      </c>
      <c r="G8" s="257">
        <f t="shared" si="0"/>
        <v>24394.13</v>
      </c>
      <c r="H8" s="258">
        <f t="shared" si="1"/>
        <v>6263.5325000000003</v>
      </c>
      <c r="J8" s="69"/>
      <c r="K8" s="84"/>
      <c r="L8" s="215"/>
      <c r="N8" s="69"/>
      <c r="O8" s="69"/>
      <c r="P8"/>
      <c r="Q8" s="170"/>
    </row>
    <row r="9" spans="1:17">
      <c r="A9" s="214" t="s">
        <v>230</v>
      </c>
      <c r="B9" s="118">
        <f>(20134*1.03)+200</f>
        <v>20938.02</v>
      </c>
      <c r="C9" s="69">
        <v>400</v>
      </c>
      <c r="D9" s="69">
        <v>480</v>
      </c>
      <c r="E9" s="69">
        <v>52</v>
      </c>
      <c r="F9" s="69">
        <v>220</v>
      </c>
      <c r="G9" s="257">
        <f t="shared" si="0"/>
        <v>22090.02</v>
      </c>
      <c r="H9" s="258">
        <f t="shared" si="1"/>
        <v>5687.5050000000001</v>
      </c>
      <c r="J9" s="69"/>
      <c r="K9" s="84"/>
      <c r="L9" s="215"/>
      <c r="N9" s="69"/>
      <c r="O9" s="69"/>
      <c r="P9"/>
      <c r="Q9" s="170"/>
    </row>
    <row r="10" spans="1:17">
      <c r="A10" s="214" t="s">
        <v>231</v>
      </c>
      <c r="B10" s="118">
        <f>(11186*1.03)+100</f>
        <v>11621.58</v>
      </c>
      <c r="C10" s="215">
        <v>200</v>
      </c>
      <c r="D10" s="69">
        <v>240</v>
      </c>
      <c r="E10" s="69">
        <v>26</v>
      </c>
      <c r="F10" s="69">
        <v>220</v>
      </c>
      <c r="G10" s="257">
        <f t="shared" si="0"/>
        <v>12307.58</v>
      </c>
      <c r="H10" s="258">
        <f>(B10+C10+D10+E10)/2+F10</f>
        <v>6263.79</v>
      </c>
      <c r="I10" s="124"/>
      <c r="J10" s="69"/>
      <c r="K10" s="84"/>
      <c r="L10" s="215"/>
      <c r="N10" s="69"/>
      <c r="O10" s="69"/>
      <c r="P10"/>
      <c r="Q10" s="170"/>
    </row>
    <row r="11" spans="1:17">
      <c r="A11" s="214" t="s">
        <v>232</v>
      </c>
      <c r="B11" s="118">
        <f>(10067*1.03)+100</f>
        <v>10469.01</v>
      </c>
      <c r="C11" s="215">
        <v>200</v>
      </c>
      <c r="D11" s="69">
        <v>240</v>
      </c>
      <c r="E11" s="69">
        <v>26</v>
      </c>
      <c r="F11" s="69">
        <v>220</v>
      </c>
      <c r="G11" s="257">
        <f t="shared" si="0"/>
        <v>11155.01</v>
      </c>
      <c r="H11" s="258">
        <f>(B11+C11+D11+E11)/2+F11</f>
        <v>5687.5050000000001</v>
      </c>
      <c r="J11" s="69"/>
      <c r="K11" s="84"/>
      <c r="L11" s="259"/>
      <c r="N11" s="69"/>
      <c r="O11" s="69"/>
      <c r="P11"/>
      <c r="Q11" s="170"/>
    </row>
    <row r="12" spans="1:17">
      <c r="A12" t="s">
        <v>233</v>
      </c>
      <c r="B12" s="118">
        <f>(9645*1.03)+100</f>
        <v>10034.35</v>
      </c>
      <c r="C12" s="215">
        <v>200</v>
      </c>
      <c r="D12" s="69">
        <v>240</v>
      </c>
      <c r="E12" s="69">
        <v>26</v>
      </c>
      <c r="F12" s="69">
        <v>220</v>
      </c>
      <c r="G12" s="257">
        <f t="shared" si="0"/>
        <v>10720.35</v>
      </c>
      <c r="H12" s="258">
        <f>(B12+C12+D12+E12)/2+F12</f>
        <v>5470.1750000000002</v>
      </c>
      <c r="J12" s="69"/>
      <c r="K12" s="84"/>
      <c r="L12" s="69"/>
      <c r="N12" s="69"/>
      <c r="O12" s="69"/>
      <c r="P12"/>
      <c r="Q12" s="170"/>
    </row>
    <row r="13" spans="1:17">
      <c r="A13" t="s">
        <v>234</v>
      </c>
      <c r="B13" s="118">
        <f>(8681*1.03)+100</f>
        <v>9041.43</v>
      </c>
      <c r="C13" s="215">
        <v>200</v>
      </c>
      <c r="D13" s="69">
        <v>240</v>
      </c>
      <c r="E13" s="69">
        <v>26</v>
      </c>
      <c r="F13" s="69">
        <v>220</v>
      </c>
      <c r="G13" s="257">
        <f t="shared" si="0"/>
        <v>9727.43</v>
      </c>
      <c r="H13" s="258">
        <f>(B13+C13+D13+E13)/2+F13</f>
        <v>4973.7150000000001</v>
      </c>
      <c r="J13" s="69"/>
      <c r="K13" s="84"/>
      <c r="L13" s="69"/>
      <c r="N13" s="69"/>
      <c r="O13" s="69"/>
      <c r="P13"/>
      <c r="Q13" s="170"/>
    </row>
    <row r="14" spans="1:17">
      <c r="A14" t="s">
        <v>235</v>
      </c>
      <c r="B14" s="118">
        <f>(19264*1.03)+200</f>
        <v>20041.920000000002</v>
      </c>
      <c r="C14" s="69">
        <v>400</v>
      </c>
      <c r="D14" s="69">
        <v>480</v>
      </c>
      <c r="E14" s="69">
        <v>52</v>
      </c>
      <c r="F14" s="69">
        <v>220</v>
      </c>
      <c r="G14" s="257">
        <f t="shared" si="0"/>
        <v>21193.920000000002</v>
      </c>
      <c r="H14" s="258">
        <f t="shared" si="1"/>
        <v>5463.4800000000005</v>
      </c>
      <c r="J14" s="69"/>
      <c r="K14" s="84"/>
      <c r="L14" s="69"/>
      <c r="N14" s="69"/>
      <c r="O14" s="69"/>
      <c r="P14"/>
      <c r="Q14" s="170"/>
    </row>
    <row r="15" spans="1:17">
      <c r="A15" t="s">
        <v>236</v>
      </c>
      <c r="B15" s="118">
        <f>(17337*1.03)+200</f>
        <v>18057.11</v>
      </c>
      <c r="C15" s="69">
        <v>400</v>
      </c>
      <c r="D15" s="69">
        <v>480</v>
      </c>
      <c r="E15" s="69">
        <v>52</v>
      </c>
      <c r="F15" s="69">
        <v>220</v>
      </c>
      <c r="G15" s="257">
        <f t="shared" si="0"/>
        <v>19209.11</v>
      </c>
      <c r="H15" s="258">
        <f t="shared" si="1"/>
        <v>4967.2775000000001</v>
      </c>
      <c r="J15" s="69"/>
      <c r="K15" s="84"/>
      <c r="L15" s="69"/>
      <c r="N15" s="69"/>
      <c r="O15" s="69"/>
      <c r="P15"/>
      <c r="Q15" s="170"/>
    </row>
    <row r="16" spans="1:17">
      <c r="A16" t="s">
        <v>237</v>
      </c>
      <c r="B16" s="118">
        <f>(20421*1.03)+200</f>
        <v>21233.63</v>
      </c>
      <c r="C16" s="69">
        <v>400</v>
      </c>
      <c r="D16" s="69">
        <v>480</v>
      </c>
      <c r="E16" s="69">
        <v>52</v>
      </c>
      <c r="F16" s="69">
        <v>220</v>
      </c>
      <c r="G16" s="257">
        <f t="shared" si="0"/>
        <v>22385.63</v>
      </c>
      <c r="H16" s="258">
        <f t="shared" si="1"/>
        <v>5761.4075000000003</v>
      </c>
      <c r="J16" s="69"/>
      <c r="K16" s="84"/>
      <c r="L16" s="69"/>
      <c r="N16" s="69"/>
      <c r="O16" s="69"/>
      <c r="P16"/>
      <c r="Q16" s="170"/>
    </row>
    <row r="17" spans="1:17">
      <c r="A17" t="s">
        <v>238</v>
      </c>
      <c r="B17" s="118">
        <f>(18379*1.03)+200</f>
        <v>19130.37</v>
      </c>
      <c r="C17" s="69">
        <v>400</v>
      </c>
      <c r="D17" s="69">
        <v>480</v>
      </c>
      <c r="E17" s="69">
        <v>52</v>
      </c>
      <c r="F17" s="69">
        <v>220</v>
      </c>
      <c r="G17" s="257">
        <f t="shared" si="0"/>
        <v>20282.37</v>
      </c>
      <c r="H17" s="258">
        <f t="shared" si="1"/>
        <v>5235.5924999999997</v>
      </c>
      <c r="J17" s="69"/>
      <c r="K17" s="84"/>
      <c r="L17" s="69"/>
      <c r="N17" s="69"/>
      <c r="O17" s="69"/>
      <c r="P17"/>
      <c r="Q17" s="170"/>
    </row>
    <row r="18" spans="1:17">
      <c r="A18" s="214" t="s">
        <v>239</v>
      </c>
      <c r="B18" s="118">
        <f>(15026*1.03)+200</f>
        <v>15676.78</v>
      </c>
      <c r="C18" s="69">
        <v>400</v>
      </c>
      <c r="D18" s="69">
        <v>480</v>
      </c>
      <c r="E18" s="69">
        <v>52</v>
      </c>
      <c r="F18" s="69">
        <v>220</v>
      </c>
      <c r="G18" s="257">
        <f t="shared" si="0"/>
        <v>16828.78</v>
      </c>
      <c r="H18" s="258">
        <f t="shared" si="1"/>
        <v>4372.1949999999997</v>
      </c>
      <c r="J18" s="69"/>
      <c r="K18" s="84"/>
      <c r="L18" s="69"/>
      <c r="N18" s="69"/>
      <c r="O18" s="69"/>
      <c r="P18"/>
      <c r="Q18" s="170"/>
    </row>
    <row r="19" spans="1:17">
      <c r="A19" t="s">
        <v>240</v>
      </c>
      <c r="B19" s="118">
        <f>(6678*1.03)+100</f>
        <v>6978.34</v>
      </c>
      <c r="C19" s="215">
        <v>200</v>
      </c>
      <c r="D19" s="69">
        <v>240</v>
      </c>
      <c r="E19" s="69">
        <v>26</v>
      </c>
      <c r="F19" s="69">
        <v>220</v>
      </c>
      <c r="G19" s="257">
        <f t="shared" si="0"/>
        <v>7664.34</v>
      </c>
      <c r="H19" s="258">
        <f>(B19+C19+D19+E19)/2+F19</f>
        <v>3942.17</v>
      </c>
      <c r="J19" s="69"/>
      <c r="K19" s="84"/>
      <c r="L19" s="69"/>
      <c r="N19" s="69"/>
      <c r="O19" s="69"/>
      <c r="P19"/>
      <c r="Q19" s="170"/>
    </row>
    <row r="20" spans="1:17">
      <c r="A20" t="s">
        <v>241</v>
      </c>
      <c r="B20" s="118">
        <f>(8681*1.03)+100</f>
        <v>9041.43</v>
      </c>
      <c r="C20" s="215">
        <v>200</v>
      </c>
      <c r="D20" s="69">
        <v>240</v>
      </c>
      <c r="E20" s="69">
        <v>26</v>
      </c>
      <c r="F20" s="69">
        <v>220</v>
      </c>
      <c r="G20" s="257">
        <f t="shared" si="0"/>
        <v>9727.43</v>
      </c>
      <c r="H20" s="258">
        <f>(B20+C20+D20+E20)/2+F20</f>
        <v>4973.7150000000001</v>
      </c>
      <c r="J20" s="69"/>
      <c r="K20" s="84"/>
      <c r="L20" s="69"/>
      <c r="N20" s="69"/>
      <c r="O20" s="69"/>
      <c r="P20"/>
      <c r="Q20" s="170"/>
    </row>
    <row r="21" spans="1:17">
      <c r="A21" t="s">
        <v>242</v>
      </c>
      <c r="B21" s="118">
        <f>(15026*1.03)+150</f>
        <v>15626.78</v>
      </c>
      <c r="C21" s="69">
        <v>300</v>
      </c>
      <c r="D21" s="69">
        <v>360</v>
      </c>
      <c r="E21" s="69">
        <v>39</v>
      </c>
      <c r="F21" s="69">
        <v>220</v>
      </c>
      <c r="G21" s="257">
        <f t="shared" si="0"/>
        <v>16545.78</v>
      </c>
      <c r="H21" s="258">
        <f t="shared" si="1"/>
        <v>4301.4449999999997</v>
      </c>
      <c r="J21" s="69"/>
      <c r="K21" s="84"/>
      <c r="L21" s="69"/>
      <c r="N21" s="69"/>
      <c r="O21" s="69"/>
      <c r="P21"/>
      <c r="Q21" s="170"/>
    </row>
    <row r="22" spans="1:17">
      <c r="A22" t="s">
        <v>243</v>
      </c>
      <c r="B22" s="118">
        <f>(7235*1.03)+100</f>
        <v>7552.05</v>
      </c>
      <c r="C22" s="215">
        <v>200</v>
      </c>
      <c r="D22" s="69">
        <v>240</v>
      </c>
      <c r="E22" s="69">
        <v>26</v>
      </c>
      <c r="F22" s="69">
        <v>220</v>
      </c>
      <c r="G22" s="257">
        <f t="shared" si="0"/>
        <v>8238.0499999999993</v>
      </c>
      <c r="H22" s="258">
        <f>(B22+C22+D22+E22)/2+F22</f>
        <v>4229.0249999999996</v>
      </c>
      <c r="J22" s="69"/>
      <c r="K22" s="84"/>
      <c r="L22" s="69"/>
      <c r="N22" s="69"/>
      <c r="O22" s="69"/>
      <c r="P22"/>
      <c r="Q22" s="170"/>
    </row>
    <row r="23" spans="1:17">
      <c r="A23" t="s">
        <v>244</v>
      </c>
      <c r="B23" s="260">
        <f>(12020*1.03)+50</f>
        <v>12430.6</v>
      </c>
      <c r="C23" s="69">
        <v>100</v>
      </c>
      <c r="D23" s="69">
        <v>120</v>
      </c>
      <c r="E23" s="69">
        <v>13</v>
      </c>
      <c r="F23" s="69">
        <v>220</v>
      </c>
      <c r="G23" s="261">
        <f t="shared" si="0"/>
        <v>12883.6</v>
      </c>
      <c r="H23" s="258" t="s">
        <v>245</v>
      </c>
      <c r="L23" s="69"/>
      <c r="P23"/>
      <c r="Q23" s="170"/>
    </row>
    <row r="24" spans="1:17">
      <c r="A24" t="s">
        <v>246</v>
      </c>
      <c r="B24" s="260">
        <f>(4007*1.03)+50</f>
        <v>4177.21</v>
      </c>
      <c r="C24" s="69">
        <v>100</v>
      </c>
      <c r="D24" s="69">
        <v>120</v>
      </c>
      <c r="E24" s="69">
        <v>13</v>
      </c>
      <c r="F24" s="69">
        <v>0</v>
      </c>
      <c r="G24" s="261">
        <f t="shared" si="0"/>
        <v>4410.21</v>
      </c>
      <c r="H24" s="258" t="s">
        <v>247</v>
      </c>
      <c r="L24" s="69"/>
      <c r="P24"/>
      <c r="Q24" s="170"/>
    </row>
    <row r="25" spans="1:17">
      <c r="A25" t="s">
        <v>248</v>
      </c>
      <c r="B25" s="260">
        <f>(4007*1.03)+0</f>
        <v>4127.21</v>
      </c>
      <c r="C25" s="69">
        <v>0</v>
      </c>
      <c r="D25" s="69">
        <v>120</v>
      </c>
      <c r="E25" s="69">
        <v>13</v>
      </c>
      <c r="F25" s="69">
        <v>0</v>
      </c>
      <c r="G25" s="261">
        <f t="shared" si="0"/>
        <v>4260.21</v>
      </c>
      <c r="H25" s="258" t="s">
        <v>249</v>
      </c>
      <c r="L25" s="69"/>
      <c r="P25"/>
      <c r="Q25" s="170"/>
    </row>
    <row r="26" spans="1:17" ht="30">
      <c r="A26" s="262" t="s">
        <v>250</v>
      </c>
      <c r="B26" s="260">
        <f>(10017*1.03)+100</f>
        <v>10417.51</v>
      </c>
      <c r="C26" s="69">
        <v>200</v>
      </c>
      <c r="D26" s="69">
        <v>240</v>
      </c>
      <c r="E26" s="69">
        <v>26</v>
      </c>
      <c r="F26" s="69">
        <v>220</v>
      </c>
      <c r="G26" s="257">
        <f>B26+C26+F26+D26</f>
        <v>11077.51</v>
      </c>
      <c r="H26" s="258">
        <f>(B26+C26+D26+E26)/2+F26</f>
        <v>5661.7550000000001</v>
      </c>
      <c r="L26" s="69"/>
      <c r="P26"/>
      <c r="Q26" s="170"/>
    </row>
    <row r="27" spans="1:17" ht="30">
      <c r="A27" s="262" t="s">
        <v>251</v>
      </c>
      <c r="B27" s="260">
        <f>(17808*1.03)+200</f>
        <v>18542.240000000002</v>
      </c>
      <c r="C27" s="69">
        <v>400</v>
      </c>
      <c r="D27" s="69">
        <v>480</v>
      </c>
      <c r="E27" s="69">
        <v>52</v>
      </c>
      <c r="F27" s="69">
        <v>220</v>
      </c>
      <c r="G27" s="257">
        <f t="shared" ref="G27:G33" si="2">B27+C27+F27+D27</f>
        <v>19642.240000000002</v>
      </c>
      <c r="H27" s="258">
        <f t="shared" si="1"/>
        <v>5088.5600000000004</v>
      </c>
      <c r="L27" s="69"/>
      <c r="P27"/>
      <c r="Q27" s="170"/>
    </row>
    <row r="28" spans="1:17">
      <c r="A28" t="s">
        <v>252</v>
      </c>
      <c r="B28" s="260">
        <f>(17808*1.03)+200</f>
        <v>18542.240000000002</v>
      </c>
      <c r="C28" s="69">
        <v>400</v>
      </c>
      <c r="D28" s="69">
        <v>480</v>
      </c>
      <c r="E28" s="69">
        <v>52</v>
      </c>
      <c r="F28" s="69">
        <v>220</v>
      </c>
      <c r="G28" s="257">
        <f t="shared" si="2"/>
        <v>19642.240000000002</v>
      </c>
      <c r="H28" s="258">
        <f t="shared" si="1"/>
        <v>5088.5600000000004</v>
      </c>
      <c r="L28" s="69"/>
      <c r="P28"/>
      <c r="Q28" s="170"/>
    </row>
    <row r="29" spans="1:17">
      <c r="A29" t="s">
        <v>253</v>
      </c>
      <c r="B29" s="260">
        <f>(15316*1.03)+150</f>
        <v>15925.48</v>
      </c>
      <c r="C29" s="69">
        <v>300</v>
      </c>
      <c r="D29" s="69">
        <v>360</v>
      </c>
      <c r="E29" s="69">
        <v>39</v>
      </c>
      <c r="F29" s="69">
        <v>220</v>
      </c>
      <c r="G29" s="257">
        <f t="shared" si="2"/>
        <v>16805.48</v>
      </c>
      <c r="H29" s="258">
        <f>(B29+C29+D29+E29)/3+F29</f>
        <v>5761.4933333333329</v>
      </c>
      <c r="L29" s="69"/>
      <c r="P29"/>
      <c r="Q29" s="170"/>
    </row>
    <row r="30" spans="1:17">
      <c r="A30" t="s">
        <v>254</v>
      </c>
      <c r="B30" s="260">
        <f>(10017*1.03)+100</f>
        <v>10417.51</v>
      </c>
      <c r="C30" s="69">
        <v>200</v>
      </c>
      <c r="D30" s="69">
        <v>240</v>
      </c>
      <c r="E30" s="69">
        <v>26</v>
      </c>
      <c r="F30" s="69">
        <v>220</v>
      </c>
      <c r="G30" s="257">
        <f t="shared" si="2"/>
        <v>11077.51</v>
      </c>
      <c r="H30" s="258">
        <f>(B30+C30+D30+E30)/2+F30</f>
        <v>5661.7550000000001</v>
      </c>
      <c r="L30" s="69"/>
      <c r="P30"/>
      <c r="Q30" s="170"/>
    </row>
    <row r="31" spans="1:17">
      <c r="A31" t="s">
        <v>255</v>
      </c>
      <c r="B31" s="260">
        <f>(19263*1.03)+200</f>
        <v>20040.89</v>
      </c>
      <c r="C31" s="69">
        <v>400</v>
      </c>
      <c r="D31" s="69">
        <v>480</v>
      </c>
      <c r="E31" s="69">
        <v>52</v>
      </c>
      <c r="F31" s="69">
        <v>220</v>
      </c>
      <c r="G31" s="257">
        <f t="shared" si="2"/>
        <v>21140.89</v>
      </c>
      <c r="H31" s="258">
        <f t="shared" si="1"/>
        <v>5463.2224999999999</v>
      </c>
      <c r="L31" s="69"/>
      <c r="P31"/>
      <c r="Q31" s="170"/>
    </row>
    <row r="32" spans="1:17">
      <c r="A32" t="s">
        <v>256</v>
      </c>
      <c r="B32" s="260">
        <f>(17808*1.03)+200</f>
        <v>18542.240000000002</v>
      </c>
      <c r="C32" s="69">
        <v>400</v>
      </c>
      <c r="D32" s="69">
        <v>480</v>
      </c>
      <c r="E32" s="69">
        <v>52</v>
      </c>
      <c r="F32" s="69">
        <v>220</v>
      </c>
      <c r="G32" s="257">
        <f t="shared" si="2"/>
        <v>19642.240000000002</v>
      </c>
      <c r="H32" s="258">
        <f t="shared" si="1"/>
        <v>5088.5600000000004</v>
      </c>
      <c r="L32" s="69"/>
      <c r="P32"/>
      <c r="Q32" s="170"/>
    </row>
    <row r="33" spans="1:17">
      <c r="A33" t="s">
        <v>257</v>
      </c>
      <c r="B33" s="260">
        <f>(10017*1.03)+100</f>
        <v>10417.51</v>
      </c>
      <c r="C33" s="69">
        <v>200</v>
      </c>
      <c r="D33" s="69">
        <v>240</v>
      </c>
      <c r="E33" s="69">
        <v>26</v>
      </c>
      <c r="F33" s="69">
        <v>220</v>
      </c>
      <c r="G33" s="257">
        <f t="shared" si="2"/>
        <v>11077.51</v>
      </c>
      <c r="H33" s="258">
        <f>(B33+C33+D33+E33)/2+F33</f>
        <v>5661.7550000000001</v>
      </c>
      <c r="L33" s="69"/>
      <c r="P33"/>
      <c r="Q33" s="170"/>
    </row>
    <row r="34" spans="1:17">
      <c r="A34" t="s">
        <v>258</v>
      </c>
      <c r="B34" s="260">
        <f>(11400*1.03)+100</f>
        <v>11842</v>
      </c>
      <c r="C34" s="69">
        <v>200</v>
      </c>
      <c r="D34" s="69">
        <v>240</v>
      </c>
      <c r="E34" s="69">
        <v>26</v>
      </c>
      <c r="F34" s="69">
        <v>220</v>
      </c>
      <c r="G34" s="102">
        <f>SUM(B34:F34)</f>
        <v>12528</v>
      </c>
      <c r="H34" s="258">
        <f>(B34+C34+D34+E34)/2+F34</f>
        <v>6374</v>
      </c>
    </row>
    <row r="35" spans="1:17">
      <c r="A35" t="s">
        <v>259</v>
      </c>
      <c r="B35" s="260">
        <f>(23100*1.03)+200</f>
        <v>23993</v>
      </c>
      <c r="C35" s="69">
        <v>400</v>
      </c>
      <c r="D35" s="69">
        <v>480</v>
      </c>
      <c r="E35" s="69">
        <v>52</v>
      </c>
      <c r="F35" s="69">
        <v>220</v>
      </c>
      <c r="G35" s="102">
        <f>SUM(B35:F35)</f>
        <v>25145</v>
      </c>
      <c r="H35" s="258">
        <f t="shared" si="1"/>
        <v>6451.25</v>
      </c>
    </row>
    <row r="36" spans="1:17">
      <c r="A36" t="s">
        <v>260</v>
      </c>
      <c r="B36" s="260">
        <f>(88000*1.03)+200</f>
        <v>90840</v>
      </c>
      <c r="C36" s="69">
        <v>400</v>
      </c>
      <c r="D36" s="69">
        <v>480</v>
      </c>
      <c r="E36" s="69">
        <v>52</v>
      </c>
      <c r="F36" s="69">
        <v>220</v>
      </c>
      <c r="G36" s="102">
        <f>SUM(B36:F36)</f>
        <v>91992</v>
      </c>
      <c r="H36" s="258">
        <f t="shared" si="1"/>
        <v>23163</v>
      </c>
    </row>
    <row r="37" spans="1:17">
      <c r="C37" s="69"/>
      <c r="D37" s="69"/>
      <c r="E37" s="69"/>
      <c r="F37" s="263"/>
      <c r="G37" s="264"/>
      <c r="O37" s="170"/>
      <c r="P37"/>
    </row>
    <row r="38" spans="1:17">
      <c r="C38" s="69"/>
      <c r="D38" s="69"/>
      <c r="E38" s="69"/>
      <c r="F38" s="263"/>
      <c r="G38" s="264"/>
    </row>
    <row r="39" spans="1:17">
      <c r="C39" s="69"/>
      <c r="D39" s="69"/>
      <c r="E39" s="69"/>
      <c r="F39" s="263"/>
      <c r="G39" s="264"/>
    </row>
    <row r="40" spans="1:17">
      <c r="C40" s="69"/>
      <c r="D40" s="69"/>
      <c r="E40" s="69"/>
      <c r="F40" s="263"/>
      <c r="G40" s="264"/>
    </row>
    <row r="41" spans="1:17">
      <c r="C41" s="69"/>
      <c r="D41" s="69"/>
      <c r="E41" s="69"/>
      <c r="F41" s="263"/>
      <c r="G41" s="264"/>
    </row>
    <row r="42" spans="1:17">
      <c r="C42" s="69"/>
      <c r="D42" s="69"/>
      <c r="E42" s="69"/>
      <c r="F42" s="263"/>
      <c r="G42" s="264"/>
    </row>
    <row r="43" spans="1:17">
      <c r="C43" s="78"/>
      <c r="D43" s="78"/>
      <c r="E43" s="78"/>
      <c r="F43" s="78"/>
      <c r="G43" s="265"/>
    </row>
    <row r="44" spans="1:17" ht="28.5">
      <c r="A44" s="332" t="s">
        <v>78</v>
      </c>
      <c r="B44" s="332"/>
      <c r="C44" s="332"/>
      <c r="D44" s="332"/>
      <c r="E44" s="332"/>
      <c r="F44" s="332"/>
      <c r="G44" s="332"/>
      <c r="H44" s="332"/>
    </row>
    <row r="45" spans="1:17" ht="36.75">
      <c r="A45" s="266" t="s">
        <v>2</v>
      </c>
      <c r="B45" s="267" t="s">
        <v>3</v>
      </c>
      <c r="C45" s="209" t="s">
        <v>223</v>
      </c>
      <c r="D45" s="4" t="s">
        <v>6</v>
      </c>
      <c r="E45" s="4" t="s">
        <v>9</v>
      </c>
      <c r="F45" s="210" t="s">
        <v>151</v>
      </c>
      <c r="G45" s="209" t="s">
        <v>10</v>
      </c>
      <c r="H45" s="252" t="s">
        <v>224</v>
      </c>
      <c r="P45"/>
      <c r="Q45" s="170"/>
    </row>
    <row r="46" spans="1:17" ht="15.75">
      <c r="A46" s="266" t="s">
        <v>78</v>
      </c>
      <c r="B46" s="268" t="s">
        <v>39</v>
      </c>
      <c r="C46" s="269" t="s">
        <v>39</v>
      </c>
      <c r="D46" s="269" t="s">
        <v>39</v>
      </c>
      <c r="E46" s="269" t="s">
        <v>39</v>
      </c>
      <c r="F46" s="269" t="s">
        <v>39</v>
      </c>
      <c r="G46" s="269" t="s">
        <v>39</v>
      </c>
      <c r="H46" s="270" t="s">
        <v>39</v>
      </c>
      <c r="P46"/>
      <c r="Q46" s="170"/>
    </row>
    <row r="47" spans="1:17">
      <c r="A47" t="s">
        <v>261</v>
      </c>
      <c r="B47" s="82">
        <f>7224+32</f>
        <v>7256</v>
      </c>
      <c r="C47" s="69">
        <v>56</v>
      </c>
      <c r="D47" s="69">
        <v>60</v>
      </c>
      <c r="E47" s="69">
        <v>8</v>
      </c>
      <c r="F47" s="69">
        <v>16</v>
      </c>
      <c r="G47" s="69">
        <f t="shared" ref="G47:G62" si="3">SUM(B47:F47)</f>
        <v>7396</v>
      </c>
      <c r="H47" s="258">
        <f>(B47+C47+D47+E47)/4+F47</f>
        <v>1861</v>
      </c>
      <c r="P47"/>
      <c r="Q47" s="170"/>
    </row>
    <row r="48" spans="1:17">
      <c r="A48" t="s">
        <v>262</v>
      </c>
      <c r="B48" s="82">
        <f>6501.6+32</f>
        <v>6533.6</v>
      </c>
      <c r="C48" s="69">
        <v>56</v>
      </c>
      <c r="D48" s="69">
        <v>60</v>
      </c>
      <c r="E48" s="69">
        <v>8</v>
      </c>
      <c r="F48" s="69">
        <v>16</v>
      </c>
      <c r="G48" s="69">
        <f t="shared" si="3"/>
        <v>6673.6</v>
      </c>
      <c r="H48" s="258">
        <f t="shared" ref="H48:H68" si="4">(B48+C48+D48+E48)/4+F48</f>
        <v>1680.4</v>
      </c>
      <c r="P48"/>
      <c r="Q48" s="170"/>
    </row>
    <row r="49" spans="1:17">
      <c r="A49" s="214" t="s">
        <v>229</v>
      </c>
      <c r="B49" s="271">
        <f>8024+32</f>
        <v>8056</v>
      </c>
      <c r="C49" s="259">
        <v>56</v>
      </c>
      <c r="D49" s="69">
        <v>60</v>
      </c>
      <c r="E49" s="69">
        <v>8</v>
      </c>
      <c r="F49" s="69">
        <v>16</v>
      </c>
      <c r="G49" s="69">
        <f t="shared" si="3"/>
        <v>8196</v>
      </c>
      <c r="H49" s="258">
        <f t="shared" si="4"/>
        <v>2061</v>
      </c>
      <c r="P49"/>
      <c r="Q49" s="170"/>
    </row>
    <row r="50" spans="1:17">
      <c r="A50" s="214" t="s">
        <v>230</v>
      </c>
      <c r="B50" s="271">
        <f>7221.6+32</f>
        <v>7253.6</v>
      </c>
      <c r="C50" s="259">
        <v>56</v>
      </c>
      <c r="D50" s="69">
        <v>60</v>
      </c>
      <c r="E50" s="69">
        <v>8</v>
      </c>
      <c r="F50" s="69">
        <v>16</v>
      </c>
      <c r="G50" s="69">
        <f t="shared" si="3"/>
        <v>7393.6</v>
      </c>
      <c r="H50" s="258">
        <f t="shared" si="4"/>
        <v>1860.4</v>
      </c>
      <c r="J50" s="117"/>
      <c r="P50"/>
      <c r="Q50" s="170"/>
    </row>
    <row r="51" spans="1:17">
      <c r="A51" t="s">
        <v>233</v>
      </c>
      <c r="B51" s="82">
        <f>4012+16</f>
        <v>4028</v>
      </c>
      <c r="C51" s="69">
        <v>28</v>
      </c>
      <c r="D51" s="69">
        <v>30</v>
      </c>
      <c r="E51" s="69">
        <v>4</v>
      </c>
      <c r="F51" s="69">
        <v>16</v>
      </c>
      <c r="G51" s="69">
        <f t="shared" si="3"/>
        <v>4106</v>
      </c>
      <c r="H51" s="258">
        <f>(B51+C51+D51+E51)/2+F51</f>
        <v>2061</v>
      </c>
      <c r="P51"/>
      <c r="Q51" s="170"/>
    </row>
    <row r="52" spans="1:17">
      <c r="A52" t="s">
        <v>263</v>
      </c>
      <c r="B52" s="82">
        <f>3610.8+16</f>
        <v>3626.8</v>
      </c>
      <c r="C52" s="69">
        <v>28</v>
      </c>
      <c r="D52" s="69">
        <v>30</v>
      </c>
      <c r="E52" s="69">
        <v>4</v>
      </c>
      <c r="F52" s="69">
        <v>16</v>
      </c>
      <c r="G52" s="69">
        <f t="shared" si="3"/>
        <v>3704.8</v>
      </c>
      <c r="H52" s="258">
        <f>(B52+C52+D52+E52)/2+F52</f>
        <v>1860.4</v>
      </c>
      <c r="P52"/>
      <c r="Q52" s="170"/>
    </row>
    <row r="53" spans="1:17">
      <c r="A53" t="s">
        <v>264</v>
      </c>
      <c r="B53" s="82">
        <f>7224+32</f>
        <v>7256</v>
      </c>
      <c r="C53" s="69">
        <v>56</v>
      </c>
      <c r="D53" s="69">
        <v>60</v>
      </c>
      <c r="E53" s="69">
        <v>8</v>
      </c>
      <c r="F53" s="69">
        <v>16</v>
      </c>
      <c r="G53" s="69">
        <f t="shared" si="3"/>
        <v>7396</v>
      </c>
      <c r="H53" s="258">
        <f t="shared" si="4"/>
        <v>1861</v>
      </c>
      <c r="P53"/>
      <c r="Q53" s="170"/>
    </row>
    <row r="54" spans="1:17">
      <c r="A54" t="s">
        <v>236</v>
      </c>
      <c r="B54" s="82">
        <f>6501.6+32</f>
        <v>6533.6</v>
      </c>
      <c r="C54" s="69">
        <v>56</v>
      </c>
      <c r="D54" s="69">
        <v>60</v>
      </c>
      <c r="E54" s="69">
        <v>8</v>
      </c>
      <c r="F54" s="69">
        <v>16</v>
      </c>
      <c r="G54" s="69">
        <f t="shared" si="3"/>
        <v>6673.6</v>
      </c>
      <c r="H54" s="258">
        <f t="shared" si="4"/>
        <v>1680.4</v>
      </c>
      <c r="P54"/>
      <c r="Q54" s="170"/>
    </row>
    <row r="55" spans="1:17">
      <c r="A55" s="272" t="s">
        <v>231</v>
      </c>
      <c r="B55" s="82">
        <f>4012+16</f>
        <v>4028</v>
      </c>
      <c r="C55" s="69">
        <v>28</v>
      </c>
      <c r="D55" s="69">
        <v>30</v>
      </c>
      <c r="E55" s="69">
        <v>4</v>
      </c>
      <c r="F55" s="69">
        <v>16</v>
      </c>
      <c r="G55" s="69">
        <f t="shared" si="3"/>
        <v>4106</v>
      </c>
      <c r="H55" s="258">
        <f>(B55+C55+D55+E55)/2+F55</f>
        <v>2061</v>
      </c>
      <c r="P55"/>
      <c r="Q55" s="170"/>
    </row>
    <row r="56" spans="1:17">
      <c r="A56" s="272" t="s">
        <v>265</v>
      </c>
      <c r="B56" s="82">
        <f>3610.8+16</f>
        <v>3626.8</v>
      </c>
      <c r="C56" s="69">
        <v>28</v>
      </c>
      <c r="D56" s="69">
        <v>30</v>
      </c>
      <c r="E56" s="69">
        <v>4</v>
      </c>
      <c r="F56" s="69">
        <v>16</v>
      </c>
      <c r="G56" s="69">
        <f t="shared" si="3"/>
        <v>3704.8</v>
      </c>
      <c r="H56" s="258">
        <f>(B56+C56+D56+E56)/2+F56</f>
        <v>1860.4</v>
      </c>
      <c r="P56"/>
      <c r="Q56" s="170"/>
    </row>
    <row r="57" spans="1:17">
      <c r="A57" t="s">
        <v>237</v>
      </c>
      <c r="B57" s="82">
        <f>7224+32</f>
        <v>7256</v>
      </c>
      <c r="C57" s="69">
        <v>56</v>
      </c>
      <c r="D57" s="69">
        <v>60</v>
      </c>
      <c r="E57" s="69">
        <v>8</v>
      </c>
      <c r="F57" s="69">
        <v>16</v>
      </c>
      <c r="G57" s="69">
        <f t="shared" si="3"/>
        <v>7396</v>
      </c>
      <c r="H57" s="258">
        <f t="shared" si="4"/>
        <v>1861</v>
      </c>
      <c r="P57"/>
      <c r="Q57" s="170"/>
    </row>
    <row r="58" spans="1:17">
      <c r="A58" t="s">
        <v>238</v>
      </c>
      <c r="B58" s="82">
        <f>6501.6+32</f>
        <v>6533.6</v>
      </c>
      <c r="C58" s="69">
        <v>56</v>
      </c>
      <c r="D58" s="69">
        <v>60</v>
      </c>
      <c r="E58" s="69">
        <v>8</v>
      </c>
      <c r="F58" s="69">
        <v>16</v>
      </c>
      <c r="G58" s="69">
        <f t="shared" si="3"/>
        <v>6673.6</v>
      </c>
      <c r="H58" s="258">
        <f t="shared" si="4"/>
        <v>1680.4</v>
      </c>
      <c r="L58" s="117"/>
      <c r="P58"/>
      <c r="Q58" s="170"/>
    </row>
    <row r="59" spans="1:17">
      <c r="A59" t="s">
        <v>241</v>
      </c>
      <c r="B59" s="82">
        <f>4012+16</f>
        <v>4028</v>
      </c>
      <c r="C59" s="69">
        <v>28</v>
      </c>
      <c r="D59" s="69">
        <v>30</v>
      </c>
      <c r="E59" s="69">
        <v>4</v>
      </c>
      <c r="F59" s="69">
        <v>16</v>
      </c>
      <c r="G59" s="69">
        <f t="shared" si="3"/>
        <v>4106</v>
      </c>
      <c r="H59" s="258">
        <f>(B59+C59+D59+E59)/2+F59</f>
        <v>2061</v>
      </c>
      <c r="P59"/>
      <c r="Q59" s="170"/>
    </row>
    <row r="60" spans="1:17">
      <c r="A60" t="s">
        <v>240</v>
      </c>
      <c r="B60" s="82">
        <f>4012+16</f>
        <v>4028</v>
      </c>
      <c r="C60" s="69">
        <v>28</v>
      </c>
      <c r="D60" s="69">
        <v>30</v>
      </c>
      <c r="E60" s="69">
        <v>4</v>
      </c>
      <c r="F60" s="69">
        <v>16</v>
      </c>
      <c r="G60" s="69">
        <f t="shared" si="3"/>
        <v>4106</v>
      </c>
      <c r="H60" s="258">
        <f>(B60+C60+D60+E60)/2+F60</f>
        <v>2061</v>
      </c>
    </row>
    <row r="61" spans="1:17">
      <c r="A61" t="s">
        <v>258</v>
      </c>
      <c r="B61" s="82">
        <f>2426+16</f>
        <v>2442</v>
      </c>
      <c r="C61" s="69">
        <v>28</v>
      </c>
      <c r="D61" s="69">
        <v>30</v>
      </c>
      <c r="E61" s="69">
        <v>4</v>
      </c>
      <c r="F61" s="69">
        <v>16</v>
      </c>
      <c r="G61" s="69">
        <f t="shared" si="3"/>
        <v>2520</v>
      </c>
      <c r="H61" s="258">
        <f>(B61+C61+D61+E61)/2+F61</f>
        <v>1268</v>
      </c>
      <c r="J61" s="273"/>
    </row>
    <row r="62" spans="1:17">
      <c r="A62" t="s">
        <v>259</v>
      </c>
      <c r="B62" s="82">
        <f>4852+32</f>
        <v>4884</v>
      </c>
      <c r="C62" s="69">
        <v>56</v>
      </c>
      <c r="D62" s="69">
        <v>60</v>
      </c>
      <c r="E62" s="69">
        <v>8</v>
      </c>
      <c r="F62" s="69">
        <v>16</v>
      </c>
      <c r="G62" s="124">
        <f t="shared" si="3"/>
        <v>5024</v>
      </c>
      <c r="H62" s="258">
        <f t="shared" si="4"/>
        <v>1268</v>
      </c>
    </row>
    <row r="63" spans="1:17" ht="30">
      <c r="A63" s="262" t="s">
        <v>250</v>
      </c>
      <c r="B63" s="82">
        <f>1359+16</f>
        <v>1375</v>
      </c>
      <c r="C63" s="82">
        <v>28</v>
      </c>
      <c r="D63" s="82">
        <v>30</v>
      </c>
      <c r="E63" s="69">
        <v>4</v>
      </c>
      <c r="F63" s="82">
        <v>16</v>
      </c>
      <c r="G63" s="82">
        <f>B63+C63+F63+D63</f>
        <v>1449</v>
      </c>
      <c r="H63" s="258">
        <f>(B63+C63+D63+E63)/2+F63</f>
        <v>734.5</v>
      </c>
      <c r="K63" s="69"/>
      <c r="L63" s="69"/>
      <c r="M63" s="69"/>
      <c r="N63" s="69"/>
      <c r="O63" s="69"/>
      <c r="P63" s="69"/>
    </row>
    <row r="64" spans="1:17" ht="30">
      <c r="A64" s="262" t="s">
        <v>251</v>
      </c>
      <c r="B64" s="82">
        <f>2412+32</f>
        <v>2444</v>
      </c>
      <c r="C64" s="82">
        <v>56</v>
      </c>
      <c r="D64" s="82">
        <v>60</v>
      </c>
      <c r="E64" s="69">
        <v>8</v>
      </c>
      <c r="F64" s="82">
        <v>16</v>
      </c>
      <c r="G64" s="82">
        <f t="shared" ref="G64:G69" si="5">B64+C64+F64+D64</f>
        <v>2576</v>
      </c>
      <c r="H64" s="258">
        <f t="shared" si="4"/>
        <v>658</v>
      </c>
      <c r="K64" s="69"/>
      <c r="L64" s="69"/>
      <c r="M64" s="69"/>
      <c r="N64" s="69"/>
      <c r="O64" s="69"/>
      <c r="P64" s="69"/>
    </row>
    <row r="65" spans="1:17">
      <c r="A65" t="s">
        <v>252</v>
      </c>
      <c r="B65" s="82">
        <f>2412+32</f>
        <v>2444</v>
      </c>
      <c r="C65" s="82">
        <v>56</v>
      </c>
      <c r="D65" s="82">
        <v>60</v>
      </c>
      <c r="E65" s="69">
        <v>8</v>
      </c>
      <c r="F65" s="82">
        <v>16</v>
      </c>
      <c r="G65" s="82">
        <f t="shared" si="5"/>
        <v>2576</v>
      </c>
      <c r="H65" s="258">
        <f t="shared" si="4"/>
        <v>658</v>
      </c>
      <c r="K65" s="69"/>
      <c r="L65" s="69"/>
      <c r="M65" s="69"/>
      <c r="N65" s="69"/>
      <c r="O65" s="69"/>
      <c r="P65" s="69"/>
    </row>
    <row r="66" spans="1:17">
      <c r="A66" t="s">
        <v>253</v>
      </c>
      <c r="B66" s="82">
        <f>2079+24</f>
        <v>2103</v>
      </c>
      <c r="C66" s="82">
        <v>42</v>
      </c>
      <c r="D66" s="82">
        <v>45</v>
      </c>
      <c r="E66" s="69">
        <v>6</v>
      </c>
      <c r="F66" s="82">
        <v>16</v>
      </c>
      <c r="G66" s="82">
        <f t="shared" si="5"/>
        <v>2206</v>
      </c>
      <c r="H66" s="258">
        <f>(B66+C66+D66+E66)/3+F66</f>
        <v>748</v>
      </c>
      <c r="K66" s="69"/>
      <c r="L66" s="69"/>
      <c r="M66" s="69"/>
      <c r="N66" s="69"/>
      <c r="O66" s="69"/>
      <c r="P66" s="69"/>
    </row>
    <row r="67" spans="1:17">
      <c r="A67" t="s">
        <v>254</v>
      </c>
      <c r="B67" s="82">
        <f>1359+16</f>
        <v>1375</v>
      </c>
      <c r="C67" s="82">
        <v>28</v>
      </c>
      <c r="D67" s="82">
        <v>30</v>
      </c>
      <c r="E67" s="69">
        <v>2</v>
      </c>
      <c r="F67" s="82">
        <v>16</v>
      </c>
      <c r="G67" s="82">
        <f t="shared" si="5"/>
        <v>1449</v>
      </c>
      <c r="H67" s="258">
        <f>(B67+C67+D67+E67)/2+F67</f>
        <v>733.5</v>
      </c>
      <c r="K67" s="69"/>
      <c r="L67" s="69"/>
      <c r="M67" s="69"/>
      <c r="N67" s="69"/>
      <c r="O67" s="69"/>
      <c r="P67" s="69"/>
    </row>
    <row r="68" spans="1:17">
      <c r="A68" t="s">
        <v>256</v>
      </c>
      <c r="B68" s="82">
        <f>2412+32</f>
        <v>2444</v>
      </c>
      <c r="C68" s="82">
        <v>56</v>
      </c>
      <c r="D68" s="82">
        <v>60</v>
      </c>
      <c r="E68" s="69">
        <v>8</v>
      </c>
      <c r="F68" s="82">
        <v>16</v>
      </c>
      <c r="G68" s="82">
        <f t="shared" si="5"/>
        <v>2576</v>
      </c>
      <c r="H68" s="258">
        <f t="shared" si="4"/>
        <v>658</v>
      </c>
      <c r="K68" s="69"/>
      <c r="L68" s="69"/>
      <c r="M68" s="69"/>
      <c r="N68" s="69"/>
      <c r="O68" s="69"/>
      <c r="P68" s="274"/>
    </row>
    <row r="69" spans="1:17">
      <c r="A69" t="s">
        <v>257</v>
      </c>
      <c r="B69" s="82">
        <f>1359+16</f>
        <v>1375</v>
      </c>
      <c r="C69" s="82">
        <v>28</v>
      </c>
      <c r="D69" s="82">
        <v>30</v>
      </c>
      <c r="E69" s="69">
        <v>4</v>
      </c>
      <c r="F69" s="82">
        <v>16</v>
      </c>
      <c r="G69" s="82">
        <f t="shared" si="5"/>
        <v>1449</v>
      </c>
      <c r="H69" s="258">
        <f>(B69+C69+D69+E69)/2+F69</f>
        <v>734.5</v>
      </c>
      <c r="K69" s="69"/>
      <c r="L69" s="69"/>
      <c r="M69" s="69"/>
      <c r="N69" s="69"/>
      <c r="O69" s="69"/>
      <c r="P69" s="274"/>
    </row>
    <row r="70" spans="1:17">
      <c r="A70" t="s">
        <v>266</v>
      </c>
      <c r="B70" s="166">
        <f>1822.5+8</f>
        <v>1830.5</v>
      </c>
      <c r="C70" s="166">
        <v>14</v>
      </c>
      <c r="D70" s="166">
        <v>15</v>
      </c>
      <c r="E70" s="69">
        <v>2</v>
      </c>
      <c r="F70" s="166">
        <v>16</v>
      </c>
      <c r="G70" s="82">
        <f>SUM(B70:F70)</f>
        <v>1877.5</v>
      </c>
      <c r="H70" s="258" t="s">
        <v>245</v>
      </c>
      <c r="K70" s="69"/>
      <c r="L70" s="69"/>
      <c r="M70" s="69"/>
      <c r="N70" s="69"/>
      <c r="O70" s="69"/>
      <c r="P70" s="274"/>
    </row>
    <row r="71" spans="1:17">
      <c r="B71" s="166">
        <f>607.5+8</f>
        <v>615.5</v>
      </c>
      <c r="C71" s="166">
        <v>14</v>
      </c>
      <c r="D71" s="166">
        <v>15</v>
      </c>
      <c r="E71" s="69">
        <v>2</v>
      </c>
      <c r="F71" s="138">
        <v>0</v>
      </c>
      <c r="G71" s="275">
        <f>SUM(B71:F71)</f>
        <v>646.5</v>
      </c>
      <c r="H71" s="258" t="s">
        <v>247</v>
      </c>
      <c r="K71" s="69"/>
      <c r="L71" s="69"/>
      <c r="M71" s="69"/>
      <c r="N71" s="69"/>
      <c r="O71" s="69"/>
      <c r="P71" s="274"/>
    </row>
    <row r="72" spans="1:17">
      <c r="B72" s="166">
        <f>607.5+0</f>
        <v>607.5</v>
      </c>
      <c r="C72" s="166">
        <v>0</v>
      </c>
      <c r="D72" s="166">
        <v>15</v>
      </c>
      <c r="E72" s="69">
        <v>2</v>
      </c>
      <c r="F72" s="138">
        <v>0</v>
      </c>
      <c r="G72" s="275">
        <f>SUM(B72:F72)</f>
        <v>624.5</v>
      </c>
      <c r="H72" s="258" t="s">
        <v>249</v>
      </c>
      <c r="K72" s="69"/>
      <c r="L72" s="69"/>
      <c r="M72" s="69"/>
      <c r="N72" s="69"/>
      <c r="O72" s="69"/>
      <c r="P72" s="274"/>
    </row>
    <row r="73" spans="1:17">
      <c r="B73" s="82"/>
      <c r="C73" s="69"/>
      <c r="D73" s="69"/>
      <c r="E73" s="69"/>
      <c r="F73" s="69"/>
      <c r="G73" s="263"/>
      <c r="H73" s="102"/>
      <c r="I73" s="258"/>
      <c r="P73"/>
      <c r="Q73" s="170"/>
    </row>
    <row r="74" spans="1:17">
      <c r="G74" s="124"/>
      <c r="H74" s="276"/>
      <c r="L74" s="69"/>
      <c r="M74" s="69"/>
      <c r="N74" s="69"/>
      <c r="O74" s="69"/>
      <c r="P74" s="69"/>
      <c r="Q74" s="274"/>
    </row>
    <row r="75" spans="1:17">
      <c r="F75" s="124"/>
      <c r="G75" s="276"/>
      <c r="K75" s="69"/>
      <c r="L75" s="69"/>
      <c r="M75" s="69"/>
      <c r="N75" s="69"/>
      <c r="O75" s="69"/>
      <c r="P75" s="274"/>
    </row>
    <row r="78" spans="1:17" ht="31.5">
      <c r="A78" s="333" t="s">
        <v>267</v>
      </c>
      <c r="B78" s="333"/>
      <c r="C78" s="333"/>
      <c r="D78" s="333"/>
      <c r="E78" s="333"/>
      <c r="F78" s="333"/>
      <c r="G78" s="333"/>
      <c r="H78" s="333"/>
      <c r="I78" s="277"/>
      <c r="J78" s="277"/>
    </row>
    <row r="80" spans="1:17" ht="48.75">
      <c r="A80" s="9"/>
      <c r="B80" s="2" t="s">
        <v>268</v>
      </c>
      <c r="C80" s="278" t="s">
        <v>223</v>
      </c>
      <c r="D80" s="4" t="s">
        <v>6</v>
      </c>
      <c r="E80" s="4" t="s">
        <v>9</v>
      </c>
      <c r="F80" s="4" t="s">
        <v>7</v>
      </c>
      <c r="G80" s="58" t="s">
        <v>10</v>
      </c>
      <c r="H80" s="252" t="s">
        <v>269</v>
      </c>
      <c r="N80" s="170"/>
      <c r="O80" s="170"/>
      <c r="P80"/>
    </row>
    <row r="81" spans="1:16" ht="17.25">
      <c r="A81" s="9"/>
      <c r="B81" s="35" t="s">
        <v>12</v>
      </c>
      <c r="C81" s="35" t="s">
        <v>12</v>
      </c>
      <c r="D81" s="7" t="s">
        <v>12</v>
      </c>
      <c r="E81" s="7" t="s">
        <v>12</v>
      </c>
      <c r="F81" s="7" t="s">
        <v>12</v>
      </c>
      <c r="G81" s="35" t="s">
        <v>12</v>
      </c>
      <c r="H81" s="279" t="s">
        <v>12</v>
      </c>
      <c r="I81" s="280" t="s">
        <v>270</v>
      </c>
      <c r="N81" s="170"/>
      <c r="O81" s="170"/>
      <c r="P81"/>
    </row>
    <row r="82" spans="1:16" ht="15.75">
      <c r="A82" s="24" t="s">
        <v>271</v>
      </c>
      <c r="B82" s="281">
        <f>(12857*1.03)+200</f>
        <v>13442.710000000001</v>
      </c>
      <c r="C82" s="282">
        <f>100*4</f>
        <v>400</v>
      </c>
      <c r="D82" s="283">
        <v>0</v>
      </c>
      <c r="E82" s="283">
        <v>52</v>
      </c>
      <c r="F82" s="95">
        <v>220</v>
      </c>
      <c r="G82" s="284">
        <f>B82+C82+F82</f>
        <v>14062.710000000001</v>
      </c>
      <c r="H82" s="285">
        <f>(B82+C82+D82+E82)/4+F82</f>
        <v>3693.6775000000002</v>
      </c>
      <c r="I82" s="170" t="s">
        <v>227</v>
      </c>
      <c r="K82" s="265"/>
      <c r="L82" s="265"/>
      <c r="M82" s="265"/>
      <c r="N82" s="170"/>
      <c r="O82" s="170"/>
      <c r="P82"/>
    </row>
    <row r="83" spans="1:16" ht="15.75">
      <c r="A83" s="24" t="s">
        <v>272</v>
      </c>
      <c r="B83" s="281">
        <f>(6678*1.03)+100</f>
        <v>6978.34</v>
      </c>
      <c r="C83" s="282">
        <f>100*2</f>
        <v>200</v>
      </c>
      <c r="D83" s="283">
        <v>0</v>
      </c>
      <c r="E83" s="283">
        <v>26</v>
      </c>
      <c r="F83" s="95">
        <v>220</v>
      </c>
      <c r="G83" s="284">
        <f>SUM(B83:F83)</f>
        <v>7424.34</v>
      </c>
      <c r="H83" s="285">
        <f>(B83+C83+D83+E83)/2+F83</f>
        <v>3822.17</v>
      </c>
      <c r="I83" s="170"/>
      <c r="K83" s="265"/>
      <c r="L83" s="265"/>
      <c r="M83" s="265"/>
      <c r="N83" s="265"/>
      <c r="O83" s="265"/>
      <c r="P83"/>
    </row>
    <row r="84" spans="1:16" ht="15.75">
      <c r="A84" s="24" t="s">
        <v>273</v>
      </c>
      <c r="B84" s="281">
        <f>(13356*1.03)+200</f>
        <v>13956.68</v>
      </c>
      <c r="C84" s="282">
        <f>100*4</f>
        <v>400</v>
      </c>
      <c r="D84" s="283">
        <v>0</v>
      </c>
      <c r="E84" s="283">
        <v>52</v>
      </c>
      <c r="F84" s="95">
        <v>220</v>
      </c>
      <c r="G84" s="284">
        <f t="shared" ref="G84" si="6">B84+C84+F84</f>
        <v>14576.68</v>
      </c>
      <c r="H84" s="285">
        <f t="shared" ref="H84" si="7">(B84+C84+D84+E84)/4+F84</f>
        <v>3822.17</v>
      </c>
      <c r="I84" s="170"/>
      <c r="K84" s="265"/>
      <c r="L84" s="265"/>
      <c r="M84" s="265"/>
      <c r="N84" s="170"/>
      <c r="O84" s="170"/>
      <c r="P84"/>
    </row>
    <row r="85" spans="1:16" ht="15.75">
      <c r="A85" s="236"/>
      <c r="B85" s="286"/>
      <c r="C85" s="287"/>
      <c r="D85" s="288"/>
      <c r="E85" s="288"/>
      <c r="F85" s="289"/>
      <c r="G85" s="290"/>
      <c r="H85" s="286"/>
      <c r="I85" s="286"/>
    </row>
  </sheetData>
  <mergeCells count="5">
    <mergeCell ref="A1:H1"/>
    <mergeCell ref="A2:H2"/>
    <mergeCell ref="A3:G3"/>
    <mergeCell ref="A44:H44"/>
    <mergeCell ref="A78:H78"/>
  </mergeCells>
  <pageMargins left="0.7" right="0.7" top="0.75" bottom="0.75" header="0.3" footer="0.3"/>
  <ignoredErrors>
    <ignoredError sqref="G83:H8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1A33-00D0-4E5A-9075-8BC3B334FA9B}">
  <dimension ref="A1:P84"/>
  <sheetViews>
    <sheetView workbookViewId="0">
      <selection activeCell="F14" sqref="F14"/>
    </sheetView>
  </sheetViews>
  <sheetFormatPr defaultRowHeight="15"/>
  <cols>
    <col min="1" max="1" width="35.85546875" customWidth="1"/>
    <col min="2" max="2" width="17.140625" style="69" customWidth="1"/>
    <col min="3" max="6" width="17.140625" customWidth="1"/>
    <col min="7" max="7" width="21.140625" style="170" customWidth="1"/>
    <col min="8" max="8" width="13.5703125" customWidth="1"/>
    <col min="11" max="11" width="10.5703125" bestFit="1" customWidth="1"/>
  </cols>
  <sheetData>
    <row r="1" spans="1:8" ht="21">
      <c r="A1" s="308" t="s">
        <v>220</v>
      </c>
      <c r="B1" s="308"/>
      <c r="C1" s="308"/>
      <c r="D1" s="308"/>
      <c r="E1" s="308"/>
      <c r="F1" s="308"/>
      <c r="G1" s="308"/>
    </row>
    <row r="2" spans="1:8" ht="18.75">
      <c r="A2" s="330" t="s">
        <v>221</v>
      </c>
      <c r="B2" s="330"/>
      <c r="C2" s="330"/>
      <c r="D2" s="330"/>
      <c r="E2" s="330"/>
      <c r="F2" s="330"/>
      <c r="G2" s="330"/>
    </row>
    <row r="3" spans="1:8" ht="23.25">
      <c r="A3" s="331" t="s">
        <v>274</v>
      </c>
      <c r="B3" s="331"/>
      <c r="C3" s="331"/>
      <c r="D3" s="331"/>
      <c r="E3" s="331"/>
      <c r="F3" s="331"/>
      <c r="G3" s="331"/>
      <c r="H3" s="160"/>
    </row>
    <row r="4" spans="1:8" ht="28.5">
      <c r="A4" s="170" t="s">
        <v>2</v>
      </c>
      <c r="B4" s="251" t="s">
        <v>3</v>
      </c>
      <c r="C4" s="209" t="s">
        <v>223</v>
      </c>
      <c r="D4" s="4" t="s">
        <v>6</v>
      </c>
      <c r="E4" s="4" t="s">
        <v>9</v>
      </c>
      <c r="F4" s="209" t="s">
        <v>10</v>
      </c>
      <c r="G4" s="4" t="s">
        <v>224</v>
      </c>
      <c r="H4" s="160"/>
    </row>
    <row r="5" spans="1:8" ht="18.75">
      <c r="A5" s="291" t="s">
        <v>57</v>
      </c>
      <c r="B5" s="268" t="s">
        <v>12</v>
      </c>
      <c r="C5" s="269" t="s">
        <v>12</v>
      </c>
      <c r="D5" s="255" t="s">
        <v>12</v>
      </c>
      <c r="E5" s="255" t="s">
        <v>12</v>
      </c>
      <c r="F5" s="269" t="s">
        <v>12</v>
      </c>
      <c r="G5" s="265"/>
    </row>
    <row r="6" spans="1:8">
      <c r="A6" t="s">
        <v>226</v>
      </c>
      <c r="B6" s="82">
        <f>(20421*1.03)+200</f>
        <v>21233.63</v>
      </c>
      <c r="C6" s="69">
        <v>400</v>
      </c>
      <c r="D6" s="69">
        <v>480</v>
      </c>
      <c r="E6" s="69">
        <v>52</v>
      </c>
      <c r="F6" s="257">
        <f t="shared" ref="F6:F36" si="0">SUM(B6:E6)</f>
        <v>22165.63</v>
      </c>
      <c r="G6" s="258">
        <f>F6/4</f>
        <v>5541.4075000000003</v>
      </c>
    </row>
    <row r="7" spans="1:8">
      <c r="A7" t="s">
        <v>228</v>
      </c>
      <c r="B7" s="82">
        <f>(18379*1.03)+200</f>
        <v>19130.37</v>
      </c>
      <c r="C7" s="69">
        <v>400</v>
      </c>
      <c r="D7" s="69">
        <v>480</v>
      </c>
      <c r="E7" s="69">
        <v>52</v>
      </c>
      <c r="F7" s="257">
        <f t="shared" si="0"/>
        <v>20062.37</v>
      </c>
      <c r="G7" s="258">
        <f>F7/4</f>
        <v>5015.5924999999997</v>
      </c>
    </row>
    <row r="8" spans="1:8">
      <c r="A8" s="214" t="s">
        <v>229</v>
      </c>
      <c r="B8" s="82">
        <f>(22371*1.03)+200</f>
        <v>23242.13</v>
      </c>
      <c r="C8" s="69">
        <v>400</v>
      </c>
      <c r="D8" s="69">
        <v>480</v>
      </c>
      <c r="E8" s="69">
        <v>52</v>
      </c>
      <c r="F8" s="257">
        <f t="shared" si="0"/>
        <v>24174.13</v>
      </c>
      <c r="G8" s="258">
        <f>F8/4</f>
        <v>6043.5325000000003</v>
      </c>
    </row>
    <row r="9" spans="1:8">
      <c r="A9" s="214" t="s">
        <v>230</v>
      </c>
      <c r="B9" s="82">
        <f>(20134*1.03)+200</f>
        <v>20938.02</v>
      </c>
      <c r="C9" s="69">
        <v>400</v>
      </c>
      <c r="D9" s="69">
        <v>480</v>
      </c>
      <c r="E9" s="69">
        <v>52</v>
      </c>
      <c r="F9" s="257">
        <f t="shared" si="0"/>
        <v>21870.02</v>
      </c>
      <c r="G9" s="258">
        <f>F9/4</f>
        <v>5467.5050000000001</v>
      </c>
    </row>
    <row r="10" spans="1:8">
      <c r="A10" s="214" t="s">
        <v>231</v>
      </c>
      <c r="B10" s="82">
        <f>(11186*1.03)+100</f>
        <v>11621.58</v>
      </c>
      <c r="C10" s="215">
        <v>200</v>
      </c>
      <c r="D10" s="69">
        <v>240</v>
      </c>
      <c r="E10" s="69">
        <v>26</v>
      </c>
      <c r="F10" s="257">
        <f t="shared" si="0"/>
        <v>12087.58</v>
      </c>
      <c r="G10" s="258">
        <f>F10/2</f>
        <v>6043.79</v>
      </c>
    </row>
    <row r="11" spans="1:8">
      <c r="A11" s="214" t="s">
        <v>232</v>
      </c>
      <c r="B11" s="102">
        <f>(10067*1.03)+100</f>
        <v>10469.01</v>
      </c>
      <c r="C11" s="259">
        <v>200</v>
      </c>
      <c r="D11" s="69">
        <v>240</v>
      </c>
      <c r="E11" s="69">
        <v>26</v>
      </c>
      <c r="F11" s="257">
        <f t="shared" si="0"/>
        <v>10935.01</v>
      </c>
      <c r="G11" s="258">
        <f>F11/2</f>
        <v>5467.5050000000001</v>
      </c>
    </row>
    <row r="12" spans="1:8">
      <c r="A12" t="s">
        <v>233</v>
      </c>
      <c r="B12" s="102">
        <f>(9645*1.03)+100</f>
        <v>10034.35</v>
      </c>
      <c r="C12" s="69">
        <v>200</v>
      </c>
      <c r="D12" s="69">
        <v>240</v>
      </c>
      <c r="E12" s="69">
        <v>26</v>
      </c>
      <c r="F12" s="257">
        <f t="shared" si="0"/>
        <v>10500.35</v>
      </c>
      <c r="G12" s="258">
        <f>F12/2</f>
        <v>5250.1750000000002</v>
      </c>
    </row>
    <row r="13" spans="1:8">
      <c r="A13" t="s">
        <v>234</v>
      </c>
      <c r="B13" s="102">
        <f>(8681*1.03)+100</f>
        <v>9041.43</v>
      </c>
      <c r="C13" s="69">
        <v>200</v>
      </c>
      <c r="D13" s="69">
        <v>240</v>
      </c>
      <c r="E13" s="69">
        <v>26</v>
      </c>
      <c r="F13" s="257">
        <f t="shared" si="0"/>
        <v>9507.43</v>
      </c>
      <c r="G13" s="258">
        <f>F13/2</f>
        <v>4753.7150000000001</v>
      </c>
    </row>
    <row r="14" spans="1:8">
      <c r="A14" t="s">
        <v>264</v>
      </c>
      <c r="B14" s="102">
        <f>(19264*1.03)+200</f>
        <v>20041.920000000002</v>
      </c>
      <c r="C14" s="69">
        <v>400</v>
      </c>
      <c r="D14" s="69">
        <v>480</v>
      </c>
      <c r="E14" s="69">
        <v>52</v>
      </c>
      <c r="F14" s="257">
        <f t="shared" si="0"/>
        <v>20973.920000000002</v>
      </c>
      <c r="G14" s="258">
        <f>F14/4</f>
        <v>5243.4800000000005</v>
      </c>
    </row>
    <row r="15" spans="1:8">
      <c r="A15" t="s">
        <v>236</v>
      </c>
      <c r="B15" s="102">
        <f>(17337*1.03)+200</f>
        <v>18057.11</v>
      </c>
      <c r="C15" s="69">
        <v>400</v>
      </c>
      <c r="D15" s="69">
        <v>480</v>
      </c>
      <c r="E15" s="69">
        <v>52</v>
      </c>
      <c r="F15" s="257">
        <f t="shared" si="0"/>
        <v>18989.11</v>
      </c>
      <c r="G15" s="258">
        <f>F15/4</f>
        <v>4747.2775000000001</v>
      </c>
    </row>
    <row r="16" spans="1:8">
      <c r="A16" t="s">
        <v>237</v>
      </c>
      <c r="B16" s="102">
        <f>(20421*1.03)+200</f>
        <v>21233.63</v>
      </c>
      <c r="C16" s="69">
        <v>400</v>
      </c>
      <c r="D16" s="69">
        <v>480</v>
      </c>
      <c r="E16" s="69">
        <v>52</v>
      </c>
      <c r="F16" s="257">
        <f t="shared" si="0"/>
        <v>22165.63</v>
      </c>
      <c r="G16" s="285">
        <f>F16/4</f>
        <v>5541.4075000000003</v>
      </c>
    </row>
    <row r="17" spans="1:16">
      <c r="A17" t="s">
        <v>238</v>
      </c>
      <c r="B17" s="102">
        <f>(18379*1.03)+200</f>
        <v>19130.37</v>
      </c>
      <c r="C17" s="69">
        <v>400</v>
      </c>
      <c r="D17" s="69">
        <v>480</v>
      </c>
      <c r="E17" s="69">
        <v>52</v>
      </c>
      <c r="F17" s="257">
        <f t="shared" si="0"/>
        <v>20062.37</v>
      </c>
      <c r="G17" s="258">
        <f>F17/4</f>
        <v>5015.5924999999997</v>
      </c>
    </row>
    <row r="18" spans="1:16">
      <c r="A18" s="214" t="s">
        <v>239</v>
      </c>
      <c r="B18" s="102">
        <f>(15026*1.03)+200</f>
        <v>15676.78</v>
      </c>
      <c r="C18" s="69">
        <v>400</v>
      </c>
      <c r="D18" s="69">
        <v>480</v>
      </c>
      <c r="E18" s="69">
        <v>52</v>
      </c>
      <c r="F18" s="257">
        <f t="shared" si="0"/>
        <v>16608.78</v>
      </c>
      <c r="G18" s="258">
        <f>F18/4</f>
        <v>4152.1949999999997</v>
      </c>
      <c r="M18" s="69"/>
      <c r="O18" s="170"/>
    </row>
    <row r="19" spans="1:16">
      <c r="A19" t="s">
        <v>240</v>
      </c>
      <c r="B19" s="102">
        <f>(6678*1.03)+100</f>
        <v>6978.34</v>
      </c>
      <c r="C19" s="215">
        <v>200</v>
      </c>
      <c r="D19" s="69">
        <v>240</v>
      </c>
      <c r="E19" s="69">
        <v>39</v>
      </c>
      <c r="F19" s="257">
        <f t="shared" si="0"/>
        <v>7457.34</v>
      </c>
      <c r="G19" s="258">
        <f>F19/2</f>
        <v>3728.67</v>
      </c>
      <c r="M19" s="69"/>
      <c r="O19" s="170"/>
    </row>
    <row r="20" spans="1:16">
      <c r="A20" t="s">
        <v>241</v>
      </c>
      <c r="B20" s="102">
        <f>(8681*1.03)+100</f>
        <v>9041.43</v>
      </c>
      <c r="C20" s="215">
        <v>200</v>
      </c>
      <c r="D20" s="69">
        <v>240</v>
      </c>
      <c r="E20" s="69">
        <v>26</v>
      </c>
      <c r="F20" s="257">
        <f t="shared" si="0"/>
        <v>9507.43</v>
      </c>
      <c r="G20" s="258">
        <f>F20/2</f>
        <v>4753.7150000000001</v>
      </c>
      <c r="M20" s="69"/>
      <c r="O20" s="170"/>
    </row>
    <row r="21" spans="1:16">
      <c r="A21" t="s">
        <v>242</v>
      </c>
      <c r="B21" s="102">
        <f>(15026*1.03)+150</f>
        <v>15626.78</v>
      </c>
      <c r="C21" s="69">
        <v>300</v>
      </c>
      <c r="D21" s="69">
        <v>360</v>
      </c>
      <c r="E21" s="69">
        <v>52</v>
      </c>
      <c r="F21" s="257">
        <f t="shared" si="0"/>
        <v>16338.78</v>
      </c>
      <c r="G21" s="258">
        <f>F21/3</f>
        <v>5446.26</v>
      </c>
      <c r="M21" s="69"/>
      <c r="O21" s="170"/>
    </row>
    <row r="22" spans="1:16">
      <c r="A22" t="s">
        <v>243</v>
      </c>
      <c r="B22" s="102">
        <f>(7235*1.03)+100</f>
        <v>7552.05</v>
      </c>
      <c r="C22" s="215">
        <v>200</v>
      </c>
      <c r="D22" s="69">
        <v>240</v>
      </c>
      <c r="E22" s="69">
        <v>26</v>
      </c>
      <c r="F22" s="257">
        <f t="shared" si="0"/>
        <v>8018.05</v>
      </c>
      <c r="G22" s="258">
        <f>F22/2</f>
        <v>4009.0250000000001</v>
      </c>
      <c r="M22" s="69"/>
      <c r="O22" s="170"/>
    </row>
    <row r="23" spans="1:16">
      <c r="A23" t="s">
        <v>244</v>
      </c>
      <c r="B23" s="102">
        <f>(12020*1.03)+50</f>
        <v>12430.6</v>
      </c>
      <c r="C23" s="69">
        <v>100</v>
      </c>
      <c r="D23" s="69">
        <v>120</v>
      </c>
      <c r="E23" s="69">
        <v>13</v>
      </c>
      <c r="F23" s="257">
        <f t="shared" si="0"/>
        <v>12663.6</v>
      </c>
      <c r="G23" s="258" t="s">
        <v>245</v>
      </c>
      <c r="O23" s="170"/>
    </row>
    <row r="24" spans="1:16">
      <c r="A24" t="s">
        <v>246</v>
      </c>
      <c r="B24" s="102">
        <f>(4007*1.03)+50</f>
        <v>4177.21</v>
      </c>
      <c r="C24" s="69">
        <v>100</v>
      </c>
      <c r="D24" s="69">
        <v>120</v>
      </c>
      <c r="E24" s="69">
        <v>13</v>
      </c>
      <c r="F24" s="257">
        <f t="shared" si="0"/>
        <v>4410.21</v>
      </c>
      <c r="G24" s="258" t="s">
        <v>247</v>
      </c>
      <c r="O24" s="170"/>
    </row>
    <row r="25" spans="1:16">
      <c r="A25" t="s">
        <v>248</v>
      </c>
      <c r="B25" s="102">
        <f>(4007*1.03)+0</f>
        <v>4127.21</v>
      </c>
      <c r="C25" s="69">
        <v>0</v>
      </c>
      <c r="D25" s="69">
        <v>120</v>
      </c>
      <c r="E25" s="69">
        <v>13</v>
      </c>
      <c r="F25" s="257">
        <f t="shared" si="0"/>
        <v>4260.21</v>
      </c>
      <c r="G25" s="258" t="s">
        <v>249</v>
      </c>
      <c r="O25" s="170"/>
    </row>
    <row r="26" spans="1:16" ht="30">
      <c r="A26" s="262" t="s">
        <v>250</v>
      </c>
      <c r="B26" s="102">
        <f>(10017*1.03)+100</f>
        <v>10417.51</v>
      </c>
      <c r="C26" s="69">
        <v>200</v>
      </c>
      <c r="D26" s="69">
        <v>240</v>
      </c>
      <c r="E26" s="69">
        <v>26</v>
      </c>
      <c r="F26" s="257">
        <f t="shared" si="0"/>
        <v>10883.51</v>
      </c>
      <c r="G26" s="258">
        <f>F26/2</f>
        <v>5441.7550000000001</v>
      </c>
      <c r="O26" s="170"/>
    </row>
    <row r="27" spans="1:16" ht="30">
      <c r="A27" s="262" t="s">
        <v>251</v>
      </c>
      <c r="B27" s="102">
        <f>(17808*1.03)+200</f>
        <v>18542.240000000002</v>
      </c>
      <c r="C27" s="69">
        <v>400</v>
      </c>
      <c r="D27" s="69">
        <v>480</v>
      </c>
      <c r="E27" s="69">
        <v>52</v>
      </c>
      <c r="F27" s="257">
        <f t="shared" si="0"/>
        <v>19474.240000000002</v>
      </c>
      <c r="G27" s="258">
        <f>F27/4</f>
        <v>4868.5600000000004</v>
      </c>
      <c r="O27" s="170"/>
    </row>
    <row r="28" spans="1:16">
      <c r="A28" t="s">
        <v>252</v>
      </c>
      <c r="B28" s="102">
        <f>(17808*1.03)+200</f>
        <v>18542.240000000002</v>
      </c>
      <c r="C28" s="69">
        <v>400</v>
      </c>
      <c r="D28" s="69">
        <v>480</v>
      </c>
      <c r="E28" s="69">
        <v>52</v>
      </c>
      <c r="F28" s="257">
        <f t="shared" si="0"/>
        <v>19474.240000000002</v>
      </c>
      <c r="G28" s="258">
        <f>F28/4</f>
        <v>4868.5600000000004</v>
      </c>
      <c r="O28" s="170"/>
    </row>
    <row r="29" spans="1:16">
      <c r="A29" t="s">
        <v>253</v>
      </c>
      <c r="B29" s="102">
        <f>(15316*1.03)+150</f>
        <v>15925.48</v>
      </c>
      <c r="C29" s="69">
        <v>300</v>
      </c>
      <c r="D29" s="69">
        <v>360</v>
      </c>
      <c r="E29" s="69">
        <v>52</v>
      </c>
      <c r="F29" s="257">
        <f t="shared" si="0"/>
        <v>16637.48</v>
      </c>
      <c r="G29" s="258">
        <f>F29/3</f>
        <v>5545.8266666666668</v>
      </c>
      <c r="O29" s="170"/>
    </row>
    <row r="30" spans="1:16">
      <c r="A30" t="s">
        <v>254</v>
      </c>
      <c r="B30" s="102">
        <f>(10017*1.03)+100</f>
        <v>10417.51</v>
      </c>
      <c r="C30" s="69">
        <v>200</v>
      </c>
      <c r="D30" s="69">
        <v>240</v>
      </c>
      <c r="E30" s="69">
        <v>26</v>
      </c>
      <c r="F30" s="257">
        <f t="shared" si="0"/>
        <v>10883.51</v>
      </c>
      <c r="G30" s="258">
        <f>F30/2</f>
        <v>5441.7550000000001</v>
      </c>
      <c r="O30" s="170"/>
    </row>
    <row r="31" spans="1:16">
      <c r="A31" t="s">
        <v>255</v>
      </c>
      <c r="B31" s="102">
        <f>(19264*1.03)+200</f>
        <v>20041.920000000002</v>
      </c>
      <c r="C31" s="69">
        <v>400</v>
      </c>
      <c r="D31" s="69">
        <v>480</v>
      </c>
      <c r="E31" s="69">
        <v>52</v>
      </c>
      <c r="F31" s="257">
        <f t="shared" si="0"/>
        <v>20973.920000000002</v>
      </c>
      <c r="G31" s="258">
        <f>F31/4</f>
        <v>5243.4800000000005</v>
      </c>
      <c r="O31" s="170"/>
    </row>
    <row r="32" spans="1:16">
      <c r="A32" t="s">
        <v>256</v>
      </c>
      <c r="B32" s="260">
        <f>(17808*1.03)+200</f>
        <v>18542.240000000002</v>
      </c>
      <c r="C32" s="69">
        <v>400</v>
      </c>
      <c r="D32" s="69">
        <v>480</v>
      </c>
      <c r="E32" s="69">
        <v>52</v>
      </c>
      <c r="F32" s="257">
        <f t="shared" si="0"/>
        <v>19474.240000000002</v>
      </c>
      <c r="G32" s="258">
        <f t="shared" ref="G32:G36" si="1">F32/4</f>
        <v>4868.5600000000004</v>
      </c>
      <c r="K32" s="69"/>
      <c r="P32" s="170"/>
    </row>
    <row r="33" spans="1:16">
      <c r="A33" t="s">
        <v>257</v>
      </c>
      <c r="B33" s="260">
        <f>(10017*1.03)+100</f>
        <v>10417.51</v>
      </c>
      <c r="C33" s="69">
        <v>200</v>
      </c>
      <c r="D33" s="69">
        <v>240</v>
      </c>
      <c r="E33" s="69">
        <v>26</v>
      </c>
      <c r="F33" s="257">
        <f t="shared" si="0"/>
        <v>10883.51</v>
      </c>
      <c r="G33" s="258">
        <f>F33/2</f>
        <v>5441.7550000000001</v>
      </c>
      <c r="K33" s="69"/>
      <c r="P33" s="170"/>
    </row>
    <row r="34" spans="1:16">
      <c r="A34" t="s">
        <v>258</v>
      </c>
      <c r="B34" s="260">
        <f>(11400*1.03)+100</f>
        <v>11842</v>
      </c>
      <c r="C34" s="69">
        <v>200</v>
      </c>
      <c r="D34" s="69">
        <v>240</v>
      </c>
      <c r="E34" s="69">
        <v>26</v>
      </c>
      <c r="F34" s="257">
        <f t="shared" si="0"/>
        <v>12308</v>
      </c>
      <c r="G34" s="258">
        <f>F34/2</f>
        <v>6154</v>
      </c>
      <c r="O34" s="170"/>
    </row>
    <row r="35" spans="1:16">
      <c r="A35" t="s">
        <v>259</v>
      </c>
      <c r="B35" s="260">
        <f>(23100*1.03)+200</f>
        <v>23993</v>
      </c>
      <c r="C35" s="69">
        <v>400</v>
      </c>
      <c r="D35" s="69">
        <v>480</v>
      </c>
      <c r="E35" s="69">
        <v>52</v>
      </c>
      <c r="F35" s="257">
        <f t="shared" si="0"/>
        <v>24925</v>
      </c>
      <c r="G35" s="258">
        <f t="shared" si="1"/>
        <v>6231.25</v>
      </c>
      <c r="O35" s="170"/>
    </row>
    <row r="36" spans="1:16">
      <c r="A36" t="s">
        <v>260</v>
      </c>
      <c r="B36" s="260">
        <f>(88000*1.03)+200</f>
        <v>90840</v>
      </c>
      <c r="C36" s="69">
        <v>400</v>
      </c>
      <c r="D36" s="69">
        <v>480</v>
      </c>
      <c r="E36" s="69">
        <v>52</v>
      </c>
      <c r="F36" s="257">
        <f t="shared" si="0"/>
        <v>91772</v>
      </c>
      <c r="G36" s="258">
        <f t="shared" si="1"/>
        <v>22943</v>
      </c>
      <c r="O36" s="170"/>
    </row>
    <row r="37" spans="1:16">
      <c r="B37" s="82"/>
      <c r="C37" s="69"/>
      <c r="D37" s="69"/>
      <c r="E37" s="69"/>
      <c r="F37" s="69"/>
      <c r="G37" s="257"/>
      <c r="H37" s="258"/>
    </row>
    <row r="38" spans="1:16">
      <c r="B38" s="82"/>
      <c r="C38" s="69"/>
      <c r="D38" s="69"/>
      <c r="E38" s="69"/>
      <c r="F38" s="69"/>
      <c r="G38" s="257"/>
      <c r="H38" s="258"/>
    </row>
    <row r="39" spans="1:16">
      <c r="C39" s="69"/>
      <c r="D39" s="69"/>
      <c r="E39" s="69"/>
      <c r="F39" s="69"/>
      <c r="G39" s="263"/>
      <c r="H39" s="264"/>
    </row>
    <row r="40" spans="1:16">
      <c r="C40" s="78"/>
      <c r="D40" s="78"/>
      <c r="E40" s="78"/>
      <c r="F40" s="69"/>
      <c r="G40" s="78"/>
      <c r="H40" s="265"/>
    </row>
    <row r="41" spans="1:16">
      <c r="F41" s="69"/>
      <c r="G41"/>
      <c r="H41" s="265"/>
    </row>
    <row r="42" spans="1:16" ht="28.5">
      <c r="A42" s="292" t="s">
        <v>2</v>
      </c>
      <c r="B42" s="251" t="s">
        <v>3</v>
      </c>
      <c r="C42" s="209" t="s">
        <v>223</v>
      </c>
      <c r="D42" s="4" t="s">
        <v>6</v>
      </c>
      <c r="E42" s="4" t="s">
        <v>9</v>
      </c>
      <c r="F42" s="209" t="s">
        <v>10</v>
      </c>
      <c r="G42" s="4" t="s">
        <v>224</v>
      </c>
    </row>
    <row r="43" spans="1:16" ht="18.75">
      <c r="A43" s="291" t="s">
        <v>78</v>
      </c>
      <c r="B43" s="268" t="s">
        <v>39</v>
      </c>
      <c r="C43" s="269" t="s">
        <v>39</v>
      </c>
      <c r="D43" s="269" t="s">
        <v>39</v>
      </c>
      <c r="E43" s="269" t="s">
        <v>39</v>
      </c>
      <c r="F43" s="269" t="s">
        <v>39</v>
      </c>
      <c r="G43" s="265"/>
    </row>
    <row r="44" spans="1:16">
      <c r="A44" t="s">
        <v>261</v>
      </c>
      <c r="B44" s="82">
        <f>7224+32</f>
        <v>7256</v>
      </c>
      <c r="C44" s="69">
        <v>56</v>
      </c>
      <c r="D44" s="69">
        <v>60</v>
      </c>
      <c r="E44" s="69">
        <v>8</v>
      </c>
      <c r="F44" s="82">
        <f t="shared" ref="F44:F69" si="2">SUM(B44:E44)</f>
        <v>7380</v>
      </c>
      <c r="G44" s="258">
        <f>F44/4</f>
        <v>1845</v>
      </c>
      <c r="I44" s="84"/>
    </row>
    <row r="45" spans="1:16">
      <c r="A45" t="s">
        <v>262</v>
      </c>
      <c r="B45" s="82">
        <f>6501.6+32</f>
        <v>6533.6</v>
      </c>
      <c r="C45" s="69">
        <v>56</v>
      </c>
      <c r="D45" s="69">
        <v>60</v>
      </c>
      <c r="E45" s="69">
        <v>8</v>
      </c>
      <c r="F45" s="82">
        <f t="shared" si="2"/>
        <v>6657.6</v>
      </c>
      <c r="G45" s="258">
        <f>F45/4</f>
        <v>1664.4</v>
      </c>
    </row>
    <row r="46" spans="1:16">
      <c r="A46" s="214" t="s">
        <v>229</v>
      </c>
      <c r="B46" s="271">
        <f>8024+32</f>
        <v>8056</v>
      </c>
      <c r="C46" s="259">
        <v>56</v>
      </c>
      <c r="D46" s="69">
        <v>60</v>
      </c>
      <c r="E46" s="69">
        <v>8</v>
      </c>
      <c r="F46" s="82">
        <f t="shared" si="2"/>
        <v>8180</v>
      </c>
      <c r="G46" s="258">
        <f>F46/4</f>
        <v>2045</v>
      </c>
    </row>
    <row r="47" spans="1:16">
      <c r="A47" s="214" t="s">
        <v>230</v>
      </c>
      <c r="B47" s="271">
        <f>7221.6+32</f>
        <v>7253.6</v>
      </c>
      <c r="C47" s="259">
        <v>56</v>
      </c>
      <c r="D47" s="69">
        <v>60</v>
      </c>
      <c r="E47" s="69">
        <v>8</v>
      </c>
      <c r="F47" s="82">
        <f t="shared" si="2"/>
        <v>7377.6</v>
      </c>
      <c r="G47" s="258">
        <v>1819.4</v>
      </c>
    </row>
    <row r="48" spans="1:16">
      <c r="A48" t="s">
        <v>233</v>
      </c>
      <c r="B48" s="82">
        <f>4012+16</f>
        <v>4028</v>
      </c>
      <c r="C48" s="69">
        <v>28</v>
      </c>
      <c r="D48" s="69">
        <v>30</v>
      </c>
      <c r="E48" s="69">
        <v>4</v>
      </c>
      <c r="F48" s="82">
        <f t="shared" si="2"/>
        <v>4090</v>
      </c>
      <c r="G48" s="258">
        <f>F48/2</f>
        <v>2045</v>
      </c>
    </row>
    <row r="49" spans="1:15">
      <c r="A49" t="s">
        <v>263</v>
      </c>
      <c r="B49" s="82">
        <f>3610.8+16</f>
        <v>3626.8</v>
      </c>
      <c r="C49" s="69">
        <v>28</v>
      </c>
      <c r="D49" s="69">
        <v>30</v>
      </c>
      <c r="E49" s="69">
        <v>4</v>
      </c>
      <c r="F49" s="82">
        <f t="shared" si="2"/>
        <v>3688.8</v>
      </c>
      <c r="G49" s="258">
        <v>1819.4</v>
      </c>
    </row>
    <row r="50" spans="1:15">
      <c r="A50" t="s">
        <v>264</v>
      </c>
      <c r="B50" s="82">
        <f>7224+32</f>
        <v>7256</v>
      </c>
      <c r="C50" s="69">
        <v>56</v>
      </c>
      <c r="D50" s="69">
        <v>60</v>
      </c>
      <c r="E50" s="69">
        <v>8</v>
      </c>
      <c r="F50" s="82">
        <f t="shared" si="2"/>
        <v>7380</v>
      </c>
      <c r="G50" s="258">
        <f>F50/4</f>
        <v>1845</v>
      </c>
    </row>
    <row r="51" spans="1:15">
      <c r="A51" t="s">
        <v>236</v>
      </c>
      <c r="B51" s="82">
        <f>6501.6+32</f>
        <v>6533.6</v>
      </c>
      <c r="C51" s="69">
        <v>56</v>
      </c>
      <c r="D51" s="69">
        <v>60</v>
      </c>
      <c r="E51" s="69">
        <v>8</v>
      </c>
      <c r="F51" s="82">
        <f t="shared" si="2"/>
        <v>6657.6</v>
      </c>
      <c r="G51" s="258">
        <f>F51/4</f>
        <v>1664.4</v>
      </c>
    </row>
    <row r="52" spans="1:15">
      <c r="A52" s="272" t="s">
        <v>231</v>
      </c>
      <c r="B52" s="82">
        <f>4012+16</f>
        <v>4028</v>
      </c>
      <c r="C52" s="69">
        <v>28</v>
      </c>
      <c r="D52" s="69">
        <v>30</v>
      </c>
      <c r="E52" s="69">
        <v>4</v>
      </c>
      <c r="F52" s="82">
        <f t="shared" si="2"/>
        <v>4090</v>
      </c>
      <c r="G52" s="258">
        <f>F52/2</f>
        <v>2045</v>
      </c>
    </row>
    <row r="53" spans="1:15">
      <c r="A53" s="272" t="s">
        <v>265</v>
      </c>
      <c r="B53" s="82">
        <f>3610.8+16</f>
        <v>3626.8</v>
      </c>
      <c r="C53" s="69">
        <v>28</v>
      </c>
      <c r="D53" s="69">
        <v>30</v>
      </c>
      <c r="E53" s="69">
        <v>4</v>
      </c>
      <c r="F53" s="82">
        <f t="shared" si="2"/>
        <v>3688.8</v>
      </c>
      <c r="G53" s="258">
        <v>1819.4</v>
      </c>
    </row>
    <row r="54" spans="1:15">
      <c r="A54" t="s">
        <v>237</v>
      </c>
      <c r="B54" s="82">
        <f>7224+32</f>
        <v>7256</v>
      </c>
      <c r="C54" s="69">
        <v>56</v>
      </c>
      <c r="D54" s="69">
        <v>60</v>
      </c>
      <c r="E54" s="69">
        <v>8</v>
      </c>
      <c r="F54" s="82">
        <f t="shared" si="2"/>
        <v>7380</v>
      </c>
      <c r="G54" s="258">
        <f>F54/4</f>
        <v>1845</v>
      </c>
    </row>
    <row r="55" spans="1:15">
      <c r="A55" t="s">
        <v>238</v>
      </c>
      <c r="B55" s="82">
        <f>6501.6+32</f>
        <v>6533.6</v>
      </c>
      <c r="C55" s="69">
        <v>56</v>
      </c>
      <c r="D55" s="69">
        <v>60</v>
      </c>
      <c r="E55" s="69">
        <v>8</v>
      </c>
      <c r="F55" s="82">
        <f t="shared" si="2"/>
        <v>6657.6</v>
      </c>
      <c r="G55" s="258">
        <f>F55/4</f>
        <v>1664.4</v>
      </c>
    </row>
    <row r="56" spans="1:15">
      <c r="A56" t="s">
        <v>241</v>
      </c>
      <c r="B56" s="82">
        <f>4012+16</f>
        <v>4028</v>
      </c>
      <c r="C56" s="69">
        <v>28</v>
      </c>
      <c r="D56" s="69">
        <v>30</v>
      </c>
      <c r="E56" s="69">
        <v>4</v>
      </c>
      <c r="F56" s="82">
        <f t="shared" si="2"/>
        <v>4090</v>
      </c>
      <c r="G56" s="258">
        <f>F56/2</f>
        <v>2045</v>
      </c>
    </row>
    <row r="57" spans="1:15">
      <c r="A57" t="s">
        <v>266</v>
      </c>
      <c r="B57" s="166">
        <f>1822.5+8</f>
        <v>1830.5</v>
      </c>
      <c r="C57" s="138">
        <v>14</v>
      </c>
      <c r="D57" s="138">
        <v>15</v>
      </c>
      <c r="E57" s="69">
        <v>2</v>
      </c>
      <c r="F57" s="82">
        <f t="shared" si="2"/>
        <v>1861.5</v>
      </c>
      <c r="G57" s="293" t="s">
        <v>245</v>
      </c>
    </row>
    <row r="58" spans="1:15">
      <c r="B58" s="166">
        <f>607.5+8</f>
        <v>615.5</v>
      </c>
      <c r="C58" s="138">
        <v>14</v>
      </c>
      <c r="D58" s="138">
        <v>15</v>
      </c>
      <c r="E58" s="69">
        <v>2</v>
      </c>
      <c r="F58" s="82">
        <f t="shared" si="2"/>
        <v>646.5</v>
      </c>
      <c r="G58" s="293" t="s">
        <v>247</v>
      </c>
    </row>
    <row r="59" spans="1:15">
      <c r="B59" s="166">
        <f>607.5+0</f>
        <v>607.5</v>
      </c>
      <c r="C59" s="138">
        <v>0</v>
      </c>
      <c r="D59" s="138">
        <v>15</v>
      </c>
      <c r="E59" s="69">
        <v>2</v>
      </c>
      <c r="F59" s="82">
        <f t="shared" si="2"/>
        <v>624.5</v>
      </c>
      <c r="G59" s="293" t="s">
        <v>249</v>
      </c>
    </row>
    <row r="60" spans="1:15">
      <c r="A60" t="s">
        <v>240</v>
      </c>
      <c r="B60" s="82">
        <f>4012+16</f>
        <v>4028</v>
      </c>
      <c r="C60" s="69">
        <v>28</v>
      </c>
      <c r="D60" s="69">
        <v>30</v>
      </c>
      <c r="E60" s="69">
        <v>4</v>
      </c>
      <c r="F60" s="82">
        <f t="shared" si="2"/>
        <v>4090</v>
      </c>
      <c r="G60" s="258">
        <f>F60/2</f>
        <v>2045</v>
      </c>
      <c r="O60" s="170"/>
    </row>
    <row r="61" spans="1:15">
      <c r="A61" t="s">
        <v>258</v>
      </c>
      <c r="B61" s="82">
        <f>2426+16</f>
        <v>2442</v>
      </c>
      <c r="C61" s="69">
        <v>28</v>
      </c>
      <c r="D61" s="69">
        <v>30</v>
      </c>
      <c r="E61" s="69">
        <v>4</v>
      </c>
      <c r="F61" s="82">
        <f t="shared" si="2"/>
        <v>2504</v>
      </c>
      <c r="G61" s="258">
        <f t="shared" ref="G61:G69" si="3">F61/2</f>
        <v>1252</v>
      </c>
      <c r="I61" s="273"/>
      <c r="O61" s="170"/>
    </row>
    <row r="62" spans="1:15">
      <c r="A62" t="s">
        <v>259</v>
      </c>
      <c r="B62" s="82">
        <f>4852+32</f>
        <v>4884</v>
      </c>
      <c r="C62" s="69">
        <v>56</v>
      </c>
      <c r="D62" s="69">
        <v>60</v>
      </c>
      <c r="E62" s="69">
        <v>8</v>
      </c>
      <c r="F62" s="84">
        <f t="shared" si="2"/>
        <v>5008</v>
      </c>
      <c r="G62" s="258">
        <f>F62/4</f>
        <v>1252</v>
      </c>
      <c r="O62" s="170"/>
    </row>
    <row r="63" spans="1:15" ht="30">
      <c r="A63" s="262" t="s">
        <v>250</v>
      </c>
      <c r="B63" s="82">
        <f>1359+16</f>
        <v>1375</v>
      </c>
      <c r="C63" s="82">
        <v>28</v>
      </c>
      <c r="D63" s="82">
        <v>30</v>
      </c>
      <c r="E63" s="69">
        <v>4</v>
      </c>
      <c r="F63" s="82">
        <f t="shared" si="2"/>
        <v>1437</v>
      </c>
      <c r="G63" s="258">
        <f t="shared" si="3"/>
        <v>718.5</v>
      </c>
      <c r="J63" s="69"/>
      <c r="K63" s="69"/>
      <c r="L63" s="69"/>
      <c r="M63" s="69"/>
      <c r="N63" s="69"/>
      <c r="O63" s="69"/>
    </row>
    <row r="64" spans="1:15" ht="30">
      <c r="A64" s="262" t="s">
        <v>251</v>
      </c>
      <c r="B64" s="82">
        <f>2412+32</f>
        <v>2444</v>
      </c>
      <c r="C64" s="82">
        <v>56</v>
      </c>
      <c r="D64" s="82">
        <v>60</v>
      </c>
      <c r="E64" s="69">
        <v>8</v>
      </c>
      <c r="F64" s="82">
        <f t="shared" si="2"/>
        <v>2568</v>
      </c>
      <c r="G64" s="258">
        <f>F64/4</f>
        <v>642</v>
      </c>
      <c r="J64" s="69"/>
      <c r="K64" s="69"/>
      <c r="L64" s="69"/>
      <c r="M64" s="69"/>
      <c r="N64" s="69"/>
      <c r="O64" s="69"/>
    </row>
    <row r="65" spans="1:15">
      <c r="A65" t="s">
        <v>252</v>
      </c>
      <c r="B65" s="82">
        <f>2412+32</f>
        <v>2444</v>
      </c>
      <c r="C65" s="82">
        <v>56</v>
      </c>
      <c r="D65" s="82">
        <v>60</v>
      </c>
      <c r="E65" s="69">
        <v>8</v>
      </c>
      <c r="F65" s="82">
        <f t="shared" si="2"/>
        <v>2568</v>
      </c>
      <c r="G65" s="258">
        <f>F65/4</f>
        <v>642</v>
      </c>
      <c r="J65" s="69"/>
      <c r="K65" s="69"/>
      <c r="L65" s="69"/>
      <c r="M65" s="69"/>
      <c r="N65" s="69"/>
      <c r="O65" s="69"/>
    </row>
    <row r="66" spans="1:15">
      <c r="A66" t="s">
        <v>253</v>
      </c>
      <c r="B66" s="82">
        <f>2079+24</f>
        <v>2103</v>
      </c>
      <c r="C66" s="82">
        <v>42</v>
      </c>
      <c r="D66" s="82">
        <v>45</v>
      </c>
      <c r="E66" s="69">
        <v>6</v>
      </c>
      <c r="F66" s="82">
        <f t="shared" si="2"/>
        <v>2196</v>
      </c>
      <c r="G66" s="258">
        <f>F66/3</f>
        <v>732</v>
      </c>
      <c r="J66" s="69"/>
      <c r="K66" s="69"/>
      <c r="L66" s="69"/>
      <c r="M66" s="69"/>
      <c r="N66" s="69"/>
      <c r="O66" s="69"/>
    </row>
    <row r="67" spans="1:15">
      <c r="A67" t="s">
        <v>254</v>
      </c>
      <c r="B67" s="82">
        <f>1359+16</f>
        <v>1375</v>
      </c>
      <c r="C67" s="82">
        <v>28</v>
      </c>
      <c r="D67" s="82">
        <v>30</v>
      </c>
      <c r="E67" s="69">
        <v>2</v>
      </c>
      <c r="F67" s="82">
        <f t="shared" si="2"/>
        <v>1435</v>
      </c>
      <c r="G67" s="258">
        <f t="shared" si="3"/>
        <v>717.5</v>
      </c>
      <c r="J67" s="69"/>
      <c r="K67" s="69"/>
      <c r="L67" s="69"/>
      <c r="M67" s="69"/>
      <c r="N67" s="69"/>
      <c r="O67" s="69"/>
    </row>
    <row r="68" spans="1:15">
      <c r="A68" t="s">
        <v>256</v>
      </c>
      <c r="B68" s="82">
        <f>2412+32</f>
        <v>2444</v>
      </c>
      <c r="C68" s="82">
        <v>56</v>
      </c>
      <c r="D68" s="82">
        <v>60</v>
      </c>
      <c r="E68" s="69">
        <v>8</v>
      </c>
      <c r="F68" s="82">
        <f t="shared" si="2"/>
        <v>2568</v>
      </c>
      <c r="G68" s="258">
        <f>F68/4</f>
        <v>642</v>
      </c>
      <c r="J68" s="69"/>
      <c r="K68" s="69"/>
      <c r="L68" s="69"/>
      <c r="M68" s="69"/>
      <c r="N68" s="69"/>
      <c r="O68" s="274"/>
    </row>
    <row r="69" spans="1:15">
      <c r="A69" t="s">
        <v>257</v>
      </c>
      <c r="B69" s="82">
        <f>1359+16</f>
        <v>1375</v>
      </c>
      <c r="C69" s="82">
        <v>28</v>
      </c>
      <c r="D69" s="82">
        <v>30</v>
      </c>
      <c r="E69" s="69">
        <v>4</v>
      </c>
      <c r="F69" s="82">
        <f t="shared" si="2"/>
        <v>1437</v>
      </c>
      <c r="G69" s="258">
        <f t="shared" si="3"/>
        <v>718.5</v>
      </c>
      <c r="J69" s="69"/>
      <c r="K69" s="69"/>
      <c r="L69" s="69"/>
      <c r="M69" s="69"/>
      <c r="N69" s="69"/>
      <c r="O69" s="274"/>
    </row>
    <row r="70" spans="1:15">
      <c r="B70" s="138"/>
      <c r="C70" s="138"/>
      <c r="D70" s="138"/>
      <c r="E70" s="69"/>
      <c r="F70" s="82"/>
      <c r="G70" s="293"/>
    </row>
    <row r="71" spans="1:15">
      <c r="B71" s="138"/>
      <c r="C71" s="138"/>
      <c r="D71" s="138"/>
      <c r="E71" s="138"/>
      <c r="F71" s="69"/>
      <c r="G71" s="82"/>
      <c r="H71" s="293"/>
    </row>
    <row r="72" spans="1:15">
      <c r="B72" s="138"/>
      <c r="C72" s="138"/>
      <c r="D72" s="138"/>
      <c r="E72" s="138"/>
      <c r="F72" s="69"/>
      <c r="G72" s="82"/>
      <c r="H72" s="293"/>
    </row>
    <row r="73" spans="1:15">
      <c r="B73" s="138"/>
      <c r="C73" s="138"/>
      <c r="D73" s="138"/>
      <c r="E73" s="138"/>
      <c r="F73" s="69"/>
      <c r="G73" s="82"/>
      <c r="H73" s="293"/>
    </row>
    <row r="77" spans="1:15" ht="31.5">
      <c r="A77" s="333" t="s">
        <v>267</v>
      </c>
      <c r="B77" s="333"/>
      <c r="C77" s="333"/>
      <c r="D77" s="333"/>
      <c r="E77" s="333"/>
      <c r="F77" s="333"/>
      <c r="G77" s="333"/>
      <c r="H77" s="277"/>
      <c r="I77" s="277"/>
    </row>
    <row r="78" spans="1:15">
      <c r="G78"/>
    </row>
    <row r="79" spans="1:15" ht="31.5">
      <c r="A79" s="9"/>
      <c r="B79" s="2" t="s">
        <v>268</v>
      </c>
      <c r="C79" s="278" t="s">
        <v>223</v>
      </c>
      <c r="D79" s="4" t="s">
        <v>6</v>
      </c>
      <c r="E79" s="4" t="s">
        <v>9</v>
      </c>
      <c r="F79" s="58" t="s">
        <v>10</v>
      </c>
      <c r="G79" s="252" t="s">
        <v>224</v>
      </c>
      <c r="I79" s="252"/>
    </row>
    <row r="80" spans="1:15" ht="17.25">
      <c r="A80" s="9"/>
      <c r="B80" s="35" t="s">
        <v>12</v>
      </c>
      <c r="C80" s="35" t="s">
        <v>12</v>
      </c>
      <c r="D80" s="7" t="s">
        <v>12</v>
      </c>
      <c r="E80" s="7" t="s">
        <v>12</v>
      </c>
      <c r="F80" s="35" t="s">
        <v>12</v>
      </c>
      <c r="G80" s="279" t="s">
        <v>12</v>
      </c>
      <c r="I80" s="279"/>
      <c r="J80" s="170"/>
    </row>
    <row r="81" spans="1:10" ht="15.75">
      <c r="A81" s="24" t="s">
        <v>275</v>
      </c>
      <c r="B81" s="281">
        <f>(12857*1.03)+200</f>
        <v>13442.710000000001</v>
      </c>
      <c r="C81" s="282">
        <f>100*4</f>
        <v>400</v>
      </c>
      <c r="D81" s="283">
        <v>0</v>
      </c>
      <c r="E81" s="283">
        <v>52</v>
      </c>
      <c r="F81" s="284">
        <f>SUM(B81:E81)</f>
        <v>13894.710000000001</v>
      </c>
      <c r="G81" s="285">
        <f>(B81+C81+D81+E81)/4</f>
        <v>3473.6775000000002</v>
      </c>
      <c r="I81" s="264"/>
      <c r="J81" s="170"/>
    </row>
    <row r="82" spans="1:10" ht="15.75">
      <c r="A82" s="24" t="s">
        <v>272</v>
      </c>
      <c r="B82" s="281">
        <f>(6678*1.03)+100</f>
        <v>6978.34</v>
      </c>
      <c r="C82" s="282">
        <f>100*2</f>
        <v>200</v>
      </c>
      <c r="D82" s="95">
        <v>0</v>
      </c>
      <c r="E82" s="95">
        <v>26</v>
      </c>
      <c r="F82" s="284">
        <f>SUM(B82:E82)</f>
        <v>7204.34</v>
      </c>
      <c r="G82" s="285">
        <f>(B82+C82+D82+E82)/2</f>
        <v>3602.17</v>
      </c>
      <c r="H82" s="264"/>
      <c r="I82" s="170"/>
    </row>
    <row r="83" spans="1:10" ht="15.75">
      <c r="A83" s="24" t="s">
        <v>273</v>
      </c>
      <c r="B83" s="281">
        <f>(13356*1.03)+200</f>
        <v>13956.68</v>
      </c>
      <c r="C83" s="282">
        <f>100*4</f>
        <v>400</v>
      </c>
      <c r="D83" s="283">
        <v>0</v>
      </c>
      <c r="E83" s="283">
        <v>52</v>
      </c>
      <c r="F83" s="284">
        <f>SUM(B83:E83)</f>
        <v>14408.68</v>
      </c>
      <c r="G83" s="285">
        <f t="shared" ref="G83" si="4">(B83+C83+D83+E83)/4</f>
        <v>3602.17</v>
      </c>
      <c r="I83" s="264"/>
      <c r="J83" s="170"/>
    </row>
    <row r="84" spans="1:10" ht="15.75">
      <c r="A84" s="236"/>
      <c r="B84" s="286"/>
      <c r="C84" s="287"/>
      <c r="D84" s="288"/>
      <c r="E84" s="288"/>
      <c r="F84" s="289"/>
      <c r="G84" s="286"/>
      <c r="H84" s="286"/>
    </row>
  </sheetData>
  <mergeCells count="4">
    <mergeCell ref="A1:G1"/>
    <mergeCell ref="A2:G2"/>
    <mergeCell ref="A3:G3"/>
    <mergeCell ref="A77:G77"/>
  </mergeCells>
  <pageMargins left="0.7" right="0.7" top="0.75" bottom="0.75" header="0.3" footer="0.3"/>
  <ignoredErrors>
    <ignoredError sqref="G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8CDA3-F9FB-42E6-A6D4-B85DACEBD390}">
  <dimension ref="A1:O72"/>
  <sheetViews>
    <sheetView workbookViewId="0">
      <selection sqref="A1:H1"/>
    </sheetView>
  </sheetViews>
  <sheetFormatPr defaultRowHeight="15"/>
  <cols>
    <col min="1" max="1" width="57.42578125" bestFit="1" customWidth="1"/>
    <col min="2" max="2" width="3" customWidth="1"/>
    <col min="3" max="3" width="3.28515625" customWidth="1"/>
    <col min="4" max="4" width="10.140625" bestFit="1" customWidth="1"/>
    <col min="5" max="5" width="16.140625" customWidth="1"/>
    <col min="6" max="6" width="10" bestFit="1" customWidth="1"/>
    <col min="7" max="9" width="14.5703125" customWidth="1"/>
    <col min="10" max="10" width="10.7109375" bestFit="1" customWidth="1"/>
    <col min="11" max="11" width="2.28515625" customWidth="1"/>
    <col min="12" max="12" width="10.140625" customWidth="1"/>
    <col min="13" max="13" width="48.7109375" customWidth="1"/>
    <col min="15" max="15" width="10.5703125" bestFit="1" customWidth="1"/>
    <col min="18" max="18" width="14.5703125" customWidth="1"/>
    <col min="19" max="19" width="12.5703125" customWidth="1"/>
  </cols>
  <sheetData>
    <row r="1" spans="1:15" ht="20.25">
      <c r="A1" s="299" t="s">
        <v>0</v>
      </c>
      <c r="B1" s="299"/>
      <c r="C1" s="299"/>
      <c r="D1" s="299"/>
      <c r="E1" s="299"/>
      <c r="F1" s="299"/>
      <c r="G1" s="299"/>
      <c r="H1" s="299"/>
      <c r="I1" s="68"/>
      <c r="J1" s="68"/>
      <c r="K1" s="68"/>
      <c r="L1" s="68"/>
      <c r="M1" s="68"/>
      <c r="N1" s="68"/>
      <c r="O1" s="69"/>
    </row>
    <row r="2" spans="1:15" ht="21">
      <c r="A2" s="307" t="s">
        <v>62</v>
      </c>
      <c r="B2" s="307"/>
      <c r="C2" s="307"/>
      <c r="D2" s="307"/>
      <c r="E2" s="307"/>
      <c r="F2" s="307"/>
      <c r="G2" s="307"/>
      <c r="H2" s="307"/>
      <c r="I2" s="295"/>
      <c r="J2" s="295"/>
      <c r="K2" s="70"/>
      <c r="L2" s="70"/>
      <c r="M2" s="70"/>
      <c r="N2" s="70"/>
      <c r="O2" s="69"/>
    </row>
    <row r="3" spans="1:15" ht="21">
      <c r="A3" s="307" t="s">
        <v>57</v>
      </c>
      <c r="B3" s="307"/>
      <c r="C3" s="307"/>
      <c r="D3" s="307"/>
      <c r="E3" s="307"/>
      <c r="F3" s="307"/>
      <c r="G3" s="307"/>
      <c r="H3" s="307"/>
      <c r="I3" s="295"/>
      <c r="J3" s="295"/>
      <c r="K3" s="71"/>
      <c r="L3" s="71"/>
      <c r="M3" s="71"/>
      <c r="N3" s="70"/>
      <c r="O3" s="69"/>
    </row>
    <row r="4" spans="1:15" ht="42.75">
      <c r="D4" s="2" t="s">
        <v>3</v>
      </c>
      <c r="E4" s="72" t="s">
        <v>7</v>
      </c>
      <c r="F4" s="4" t="s">
        <v>6</v>
      </c>
      <c r="G4" s="4" t="s">
        <v>9</v>
      </c>
      <c r="H4" s="58" t="s">
        <v>10</v>
      </c>
      <c r="I4" s="58"/>
      <c r="J4" s="58"/>
      <c r="K4" s="58"/>
      <c r="M4" s="69"/>
    </row>
    <row r="5" spans="1:15" ht="18.75">
      <c r="D5" s="73" t="s">
        <v>12</v>
      </c>
      <c r="E5" s="73" t="s">
        <v>12</v>
      </c>
      <c r="F5" s="73" t="s">
        <v>12</v>
      </c>
      <c r="G5" s="35" t="s">
        <v>12</v>
      </c>
      <c r="H5" s="73" t="s">
        <v>12</v>
      </c>
      <c r="M5" s="69"/>
    </row>
    <row r="6" spans="1:15" ht="15.75">
      <c r="A6" s="74" t="s">
        <v>63</v>
      </c>
      <c r="B6" s="74"/>
      <c r="C6" s="75"/>
      <c r="D6" s="76">
        <f>(3700*1.03)+100</f>
        <v>3911</v>
      </c>
      <c r="E6" s="74">
        <v>220</v>
      </c>
      <c r="F6" s="74">
        <v>120</v>
      </c>
      <c r="G6" s="74">
        <v>13</v>
      </c>
      <c r="H6" s="76">
        <f>SUM(D6:G6)</f>
        <v>4264</v>
      </c>
      <c r="I6" s="77"/>
      <c r="J6" s="77"/>
      <c r="K6" s="77"/>
      <c r="M6" s="69"/>
      <c r="N6" s="78"/>
    </row>
    <row r="7" spans="1:15" ht="15.75">
      <c r="A7" s="74" t="s">
        <v>64</v>
      </c>
      <c r="B7" s="74"/>
      <c r="C7" s="74"/>
      <c r="D7" s="76">
        <f t="shared" ref="D7:D8" si="0">(3700*1.03)+100</f>
        <v>3911</v>
      </c>
      <c r="E7" s="74">
        <v>220</v>
      </c>
      <c r="F7" s="74">
        <v>120</v>
      </c>
      <c r="G7" s="74">
        <v>13</v>
      </c>
      <c r="H7" s="76">
        <f>SUM(D7:G7)</f>
        <v>4264</v>
      </c>
      <c r="I7" s="77"/>
      <c r="J7" s="77"/>
      <c r="K7" s="77"/>
      <c r="M7" s="69"/>
    </row>
    <row r="8" spans="1:15" ht="15.75">
      <c r="A8" s="74" t="s">
        <v>65</v>
      </c>
      <c r="B8" s="74"/>
      <c r="C8" s="74"/>
      <c r="D8" s="76">
        <f t="shared" si="0"/>
        <v>3911</v>
      </c>
      <c r="E8" s="74">
        <v>220</v>
      </c>
      <c r="F8" s="74">
        <v>120</v>
      </c>
      <c r="G8" s="74">
        <v>13</v>
      </c>
      <c r="H8" s="76">
        <f>SUM(D8:G8)</f>
        <v>4264</v>
      </c>
      <c r="I8" s="77"/>
      <c r="J8" s="77"/>
      <c r="K8" s="77"/>
      <c r="M8" s="69"/>
    </row>
    <row r="9" spans="1:15" ht="15.75">
      <c r="A9" s="74"/>
      <c r="B9" s="74"/>
      <c r="C9" s="74"/>
      <c r="D9" s="77"/>
      <c r="J9" s="78"/>
      <c r="K9" s="78"/>
      <c r="L9" s="78"/>
      <c r="M9" s="78"/>
      <c r="O9" s="69"/>
    </row>
    <row r="10" spans="1:15" ht="15.75">
      <c r="A10" s="74"/>
      <c r="B10" s="74"/>
      <c r="C10" s="74"/>
      <c r="D10" s="77"/>
      <c r="J10" s="78"/>
      <c r="K10" s="78"/>
      <c r="L10" s="78"/>
      <c r="M10" s="78"/>
      <c r="O10" s="69"/>
    </row>
    <row r="11" spans="1:15" ht="18.75">
      <c r="D11" s="73" t="s">
        <v>12</v>
      </c>
      <c r="E11" s="73" t="s">
        <v>12</v>
      </c>
      <c r="F11" s="73" t="s">
        <v>12</v>
      </c>
      <c r="G11" s="73"/>
      <c r="H11" s="73" t="s">
        <v>12</v>
      </c>
      <c r="M11" s="69"/>
      <c r="N11" s="78"/>
    </row>
    <row r="12" spans="1:15" ht="15.75">
      <c r="A12" s="74" t="s">
        <v>66</v>
      </c>
      <c r="B12" s="74"/>
      <c r="C12" s="75"/>
      <c r="D12" s="76">
        <f>(5540*1.03)+100</f>
        <v>5806.2</v>
      </c>
      <c r="E12" s="74">
        <v>220</v>
      </c>
      <c r="F12" s="74">
        <v>120</v>
      </c>
      <c r="G12" s="74">
        <v>13</v>
      </c>
      <c r="H12" s="76">
        <f>SUM(D12:G12)</f>
        <v>6159.2</v>
      </c>
      <c r="I12" s="77"/>
      <c r="J12" s="77"/>
      <c r="K12" s="77"/>
      <c r="M12" s="69"/>
    </row>
    <row r="13" spans="1:15" ht="15.75">
      <c r="A13" s="79" t="s">
        <v>67</v>
      </c>
      <c r="B13" s="74"/>
      <c r="C13" s="74"/>
      <c r="D13" s="76">
        <f t="shared" ref="D13:D14" si="1">(5540*1.03)+100</f>
        <v>5806.2</v>
      </c>
      <c r="E13" s="74">
        <v>220</v>
      </c>
      <c r="F13" s="74">
        <v>120</v>
      </c>
      <c r="G13" s="74">
        <v>13</v>
      </c>
      <c r="H13" s="76">
        <f>SUM(D13:G13)</f>
        <v>6159.2</v>
      </c>
      <c r="I13" s="77"/>
      <c r="J13" s="77"/>
      <c r="K13" s="77"/>
      <c r="M13" s="69"/>
      <c r="N13" s="78"/>
    </row>
    <row r="14" spans="1:15" ht="15.75">
      <c r="A14" s="74" t="s">
        <v>68</v>
      </c>
      <c r="B14" s="74"/>
      <c r="C14" s="74"/>
      <c r="D14" s="76">
        <f t="shared" si="1"/>
        <v>5806.2</v>
      </c>
      <c r="E14" s="74">
        <v>220</v>
      </c>
      <c r="F14" s="74">
        <v>120</v>
      </c>
      <c r="G14" s="74">
        <v>13</v>
      </c>
      <c r="H14" s="76">
        <f>SUM(D14:G14)</f>
        <v>6159.2</v>
      </c>
      <c r="I14" s="77"/>
      <c r="J14" s="77"/>
      <c r="K14" s="77"/>
      <c r="M14" s="69"/>
    </row>
    <row r="15" spans="1:15">
      <c r="O15" s="69"/>
    </row>
    <row r="16" spans="1:15">
      <c r="O16" s="69"/>
    </row>
    <row r="17" spans="1:15" ht="18.75">
      <c r="D17" s="73" t="s">
        <v>12</v>
      </c>
      <c r="E17" s="73" t="s">
        <v>12</v>
      </c>
      <c r="F17" s="73" t="s">
        <v>12</v>
      </c>
      <c r="G17" s="73"/>
      <c r="H17" s="73" t="s">
        <v>12</v>
      </c>
      <c r="M17" s="69"/>
    </row>
    <row r="18" spans="1:15" ht="15.75">
      <c r="A18" s="74" t="s">
        <v>69</v>
      </c>
      <c r="B18" s="74"/>
      <c r="C18" s="75"/>
      <c r="D18" s="76">
        <f>(6460*1.03)+100</f>
        <v>6753.8</v>
      </c>
      <c r="E18" s="74">
        <v>220</v>
      </c>
      <c r="F18" s="74">
        <v>120</v>
      </c>
      <c r="G18" s="74">
        <v>13</v>
      </c>
      <c r="H18" s="76">
        <f>SUM(D18:G18)</f>
        <v>7106.8</v>
      </c>
      <c r="I18" s="77"/>
      <c r="J18" s="77"/>
      <c r="K18" s="77"/>
      <c r="M18" s="69"/>
      <c r="N18" s="78"/>
    </row>
    <row r="19" spans="1:15" ht="15.75">
      <c r="A19" s="79" t="s">
        <v>70</v>
      </c>
      <c r="B19" s="74"/>
      <c r="C19" s="74"/>
      <c r="D19" s="76">
        <f t="shared" ref="D19:D20" si="2">(6460*1.03)+100</f>
        <v>6753.8</v>
      </c>
      <c r="E19" s="74">
        <v>220</v>
      </c>
      <c r="F19" s="74">
        <v>120</v>
      </c>
      <c r="G19" s="74">
        <v>13</v>
      </c>
      <c r="H19" s="76">
        <f>SUM(D19:G19)</f>
        <v>7106.8</v>
      </c>
      <c r="I19" s="77"/>
      <c r="J19" s="77"/>
      <c r="K19" s="77"/>
      <c r="M19" s="69"/>
      <c r="N19" s="78"/>
    </row>
    <row r="20" spans="1:15" ht="15.75">
      <c r="A20" s="74" t="s">
        <v>71</v>
      </c>
      <c r="B20" s="74"/>
      <c r="C20" s="74"/>
      <c r="D20" s="76">
        <f t="shared" si="2"/>
        <v>6753.8</v>
      </c>
      <c r="E20" s="74">
        <v>220</v>
      </c>
      <c r="F20" s="74">
        <v>120</v>
      </c>
      <c r="G20" s="74">
        <v>13</v>
      </c>
      <c r="H20" s="76">
        <f>SUM(D20:G20)</f>
        <v>7106.8</v>
      </c>
      <c r="I20" s="77"/>
      <c r="J20" s="77"/>
      <c r="K20" s="77"/>
      <c r="M20" s="69"/>
    </row>
    <row r="21" spans="1:15">
      <c r="O21" s="69"/>
    </row>
    <row r="22" spans="1:15">
      <c r="O22" s="69"/>
    </row>
    <row r="23" spans="1:15" ht="18.75">
      <c r="D23" s="73" t="s">
        <v>12</v>
      </c>
      <c r="E23" s="73" t="s">
        <v>12</v>
      </c>
      <c r="F23" s="73" t="s">
        <v>12</v>
      </c>
      <c r="G23" s="73"/>
      <c r="H23" s="73" t="s">
        <v>12</v>
      </c>
      <c r="M23" s="69"/>
    </row>
    <row r="24" spans="1:15" ht="15.75">
      <c r="A24" s="74" t="s">
        <v>72</v>
      </c>
      <c r="B24" s="74"/>
      <c r="C24" s="75"/>
      <c r="D24" s="76">
        <f>(8760*1.03)+100</f>
        <v>9122.8000000000011</v>
      </c>
      <c r="E24" s="74">
        <v>220</v>
      </c>
      <c r="F24" s="74">
        <v>120</v>
      </c>
      <c r="G24" s="74">
        <v>13</v>
      </c>
      <c r="H24" s="76">
        <f>SUM(D24:G24)</f>
        <v>9475.8000000000011</v>
      </c>
      <c r="I24" s="77"/>
      <c r="J24" s="77"/>
      <c r="K24" s="77"/>
      <c r="M24" s="69"/>
    </row>
    <row r="25" spans="1:15" ht="15.75">
      <c r="A25" s="79" t="s">
        <v>73</v>
      </c>
      <c r="B25" s="74"/>
      <c r="C25" s="74"/>
      <c r="D25" s="76">
        <f t="shared" ref="D25:D26" si="3">(8760*1.03)+100</f>
        <v>9122.8000000000011</v>
      </c>
      <c r="E25" s="74">
        <v>220</v>
      </c>
      <c r="F25" s="74">
        <v>120</v>
      </c>
      <c r="G25" s="74">
        <v>13</v>
      </c>
      <c r="H25" s="76">
        <f>SUM(D25:F25)</f>
        <v>9462.8000000000011</v>
      </c>
      <c r="I25" s="77"/>
      <c r="J25" s="77"/>
      <c r="K25" s="77"/>
      <c r="M25" s="69"/>
    </row>
    <row r="26" spans="1:15" ht="15.75">
      <c r="A26" s="74" t="s">
        <v>74</v>
      </c>
      <c r="B26" s="74"/>
      <c r="C26" s="74"/>
      <c r="D26" s="76">
        <f t="shared" si="3"/>
        <v>9122.8000000000011</v>
      </c>
      <c r="E26" s="74">
        <v>220</v>
      </c>
      <c r="F26" s="74">
        <v>120</v>
      </c>
      <c r="G26" s="74">
        <v>13</v>
      </c>
      <c r="H26" s="76">
        <f>SUM(D26:F26)</f>
        <v>9462.8000000000011</v>
      </c>
      <c r="I26" s="77"/>
      <c r="J26" s="77"/>
      <c r="K26" s="77"/>
      <c r="M26" s="69"/>
    </row>
    <row r="27" spans="1:15">
      <c r="O27" s="69"/>
    </row>
    <row r="28" spans="1:15">
      <c r="O28" s="69"/>
    </row>
    <row r="29" spans="1:15" ht="18.75">
      <c r="D29" s="73" t="s">
        <v>12</v>
      </c>
      <c r="E29" s="73" t="s">
        <v>12</v>
      </c>
      <c r="F29" s="73" t="s">
        <v>12</v>
      </c>
      <c r="G29" s="73"/>
      <c r="H29" s="73" t="s">
        <v>12</v>
      </c>
      <c r="M29" s="69"/>
    </row>
    <row r="30" spans="1:15" ht="15.75">
      <c r="A30" s="74" t="s">
        <v>75</v>
      </c>
      <c r="B30" s="74"/>
      <c r="C30" s="75"/>
      <c r="D30" s="76">
        <f>(10485*1.03)+100</f>
        <v>10899.550000000001</v>
      </c>
      <c r="E30" s="74">
        <v>220</v>
      </c>
      <c r="F30" s="74">
        <v>120</v>
      </c>
      <c r="G30" s="74">
        <v>13</v>
      </c>
      <c r="H30" s="76">
        <f>SUM(D30:G30)</f>
        <v>11252.550000000001</v>
      </c>
      <c r="I30" s="77"/>
      <c r="J30" s="77"/>
      <c r="K30" s="77"/>
      <c r="M30" s="69"/>
    </row>
    <row r="31" spans="1:15" ht="15.75">
      <c r="A31" s="79" t="s">
        <v>76</v>
      </c>
      <c r="B31" s="74"/>
      <c r="C31" s="74"/>
      <c r="D31" s="76">
        <f t="shared" ref="D31:D32" si="4">(10485*1.03)+100</f>
        <v>10899.550000000001</v>
      </c>
      <c r="E31" s="74">
        <v>220</v>
      </c>
      <c r="F31" s="74">
        <v>120</v>
      </c>
      <c r="G31" s="74">
        <v>13</v>
      </c>
      <c r="H31" s="76">
        <f>SUM(D31:G31)</f>
        <v>11252.550000000001</v>
      </c>
      <c r="I31" s="77"/>
      <c r="J31" s="77"/>
      <c r="K31" s="77"/>
      <c r="M31" s="69"/>
    </row>
    <row r="32" spans="1:15" ht="15.75">
      <c r="A32" s="74" t="s">
        <v>77</v>
      </c>
      <c r="B32" s="74"/>
      <c r="C32" s="74"/>
      <c r="D32" s="76">
        <f t="shared" si="4"/>
        <v>10899.550000000001</v>
      </c>
      <c r="E32" s="74">
        <v>220</v>
      </c>
      <c r="F32" s="74">
        <v>120</v>
      </c>
      <c r="G32" s="74">
        <v>13</v>
      </c>
      <c r="H32" s="76">
        <f>SUM(D32:G32)</f>
        <v>11252.550000000001</v>
      </c>
      <c r="I32" s="77"/>
      <c r="J32" s="77"/>
      <c r="K32" s="77"/>
      <c r="M32" s="69"/>
    </row>
    <row r="33" spans="1:15" ht="15.75">
      <c r="A33" s="74"/>
      <c r="B33" s="74"/>
      <c r="C33" s="74"/>
      <c r="D33" s="77"/>
      <c r="E33" s="74"/>
      <c r="F33" s="74"/>
      <c r="G33" s="74"/>
      <c r="H33" s="74"/>
      <c r="I33" s="74"/>
      <c r="J33" s="77"/>
      <c r="K33" s="77"/>
      <c r="L33" s="77"/>
      <c r="M33" s="77"/>
      <c r="O33" s="69"/>
    </row>
    <row r="34" spans="1:15" ht="15.75">
      <c r="A34" s="74"/>
      <c r="B34" s="74"/>
      <c r="C34" s="74"/>
      <c r="D34" s="77"/>
      <c r="E34" s="74"/>
      <c r="F34" s="74"/>
      <c r="G34" s="74"/>
      <c r="H34" s="74"/>
      <c r="I34" s="74"/>
      <c r="J34" s="77"/>
      <c r="K34" s="77"/>
      <c r="L34" s="77"/>
      <c r="M34" s="77"/>
      <c r="O34" s="69"/>
    </row>
    <row r="35" spans="1:15" ht="15.75">
      <c r="A35" s="74"/>
      <c r="B35" s="74"/>
      <c r="C35" s="74"/>
      <c r="D35" s="77"/>
      <c r="E35" s="74"/>
      <c r="F35" s="74"/>
      <c r="G35" s="74"/>
      <c r="H35" s="74"/>
      <c r="I35" s="74"/>
      <c r="J35" s="77"/>
      <c r="K35" s="77"/>
      <c r="L35" s="77"/>
      <c r="M35" s="77"/>
      <c r="O35" s="69"/>
    </row>
    <row r="36" spans="1:15" ht="15.75">
      <c r="A36" s="74"/>
      <c r="B36" s="74"/>
      <c r="C36" s="74"/>
      <c r="D36" s="77"/>
      <c r="E36" s="74"/>
      <c r="F36" s="74"/>
      <c r="G36" s="74"/>
      <c r="H36" s="74"/>
      <c r="I36" s="74"/>
      <c r="J36" s="77"/>
      <c r="K36" s="77"/>
      <c r="L36" s="77"/>
      <c r="M36" s="77"/>
      <c r="O36" s="69"/>
    </row>
    <row r="37" spans="1:15">
      <c r="O37" s="69"/>
    </row>
    <row r="38" spans="1:15">
      <c r="O38" s="69"/>
    </row>
    <row r="39" spans="1:15" ht="21">
      <c r="A39" s="308" t="s">
        <v>78</v>
      </c>
      <c r="B39" s="308"/>
      <c r="C39" s="308"/>
      <c r="D39" s="308"/>
      <c r="E39" s="308"/>
      <c r="F39" s="308"/>
      <c r="G39" s="308"/>
      <c r="H39" s="308"/>
      <c r="I39" s="296"/>
      <c r="J39" s="296"/>
    </row>
    <row r="40" spans="1:15" ht="42.75">
      <c r="A40" s="58"/>
      <c r="D40" s="2" t="s">
        <v>3</v>
      </c>
      <c r="E40" s="72" t="s">
        <v>7</v>
      </c>
      <c r="F40" s="4" t="s">
        <v>6</v>
      </c>
      <c r="G40" s="4" t="s">
        <v>9</v>
      </c>
      <c r="H40" s="58" t="s">
        <v>10</v>
      </c>
      <c r="I40" s="58"/>
      <c r="J40" s="58"/>
    </row>
    <row r="41" spans="1:15" ht="20.25">
      <c r="D41" s="80" t="s">
        <v>39</v>
      </c>
      <c r="E41" s="81" t="s">
        <v>39</v>
      </c>
      <c r="F41" s="81" t="s">
        <v>39</v>
      </c>
      <c r="G41" s="81" t="s">
        <v>39</v>
      </c>
      <c r="H41" s="81" t="s">
        <v>39</v>
      </c>
      <c r="I41" s="73"/>
      <c r="J41" s="73"/>
    </row>
    <row r="42" spans="1:15" ht="15.75">
      <c r="A42" s="74" t="s">
        <v>63</v>
      </c>
      <c r="D42" s="82">
        <f>(4900/9.8)+16</f>
        <v>516</v>
      </c>
      <c r="E42" s="82">
        <v>16</v>
      </c>
      <c r="F42" s="82">
        <v>15</v>
      </c>
      <c r="G42" s="82">
        <v>2</v>
      </c>
      <c r="H42" s="83">
        <f>SUM(D42:G42)</f>
        <v>549</v>
      </c>
      <c r="I42" s="77"/>
      <c r="J42" s="77"/>
    </row>
    <row r="43" spans="1:15" ht="15.75">
      <c r="A43" s="79" t="s">
        <v>64</v>
      </c>
      <c r="D43" s="82">
        <f t="shared" ref="D43:D44" si="5">(4900/9.8)+16</f>
        <v>516</v>
      </c>
      <c r="E43" s="82">
        <v>16</v>
      </c>
      <c r="F43" s="82">
        <v>15</v>
      </c>
      <c r="G43" s="82">
        <v>2</v>
      </c>
      <c r="H43" s="83">
        <f>SUM(D43:G43)</f>
        <v>549</v>
      </c>
      <c r="I43" s="77"/>
      <c r="J43" s="77"/>
    </row>
    <row r="44" spans="1:15" ht="15.75">
      <c r="A44" s="74" t="s">
        <v>65</v>
      </c>
      <c r="D44" s="82">
        <f t="shared" si="5"/>
        <v>516</v>
      </c>
      <c r="E44" s="82">
        <v>16</v>
      </c>
      <c r="F44" s="82">
        <v>15</v>
      </c>
      <c r="G44" s="82">
        <v>2</v>
      </c>
      <c r="H44" s="83">
        <f>SUM(D44:G44)</f>
        <v>549</v>
      </c>
      <c r="I44" s="77"/>
      <c r="J44" s="77"/>
    </row>
    <row r="45" spans="1:15" ht="15.75">
      <c r="A45" s="74"/>
      <c r="D45" s="69"/>
      <c r="K45" s="78"/>
      <c r="L45" s="78"/>
    </row>
    <row r="46" spans="1:15">
      <c r="D46" s="69"/>
    </row>
    <row r="47" spans="1:15" ht="20.25">
      <c r="A47" s="73"/>
      <c r="D47" s="80" t="s">
        <v>39</v>
      </c>
      <c r="E47" s="81" t="s">
        <v>39</v>
      </c>
      <c r="F47" s="81" t="s">
        <v>39</v>
      </c>
      <c r="G47" s="81"/>
      <c r="H47" s="81" t="s">
        <v>39</v>
      </c>
      <c r="I47" s="73"/>
      <c r="J47" s="73"/>
    </row>
    <row r="48" spans="1:15" ht="15.75">
      <c r="A48" s="74" t="s">
        <v>66</v>
      </c>
      <c r="D48" s="82">
        <f>(6250/9.8)+16</f>
        <v>653.75510204081627</v>
      </c>
      <c r="E48" s="82">
        <v>16</v>
      </c>
      <c r="F48" s="82">
        <v>15</v>
      </c>
      <c r="G48" s="82">
        <v>2</v>
      </c>
      <c r="H48" s="83">
        <f>SUM(D48:G48)</f>
        <v>686.75510204081627</v>
      </c>
      <c r="I48" s="77"/>
      <c r="J48" s="77"/>
    </row>
    <row r="49" spans="1:10" ht="15.75">
      <c r="A49" s="79" t="s">
        <v>67</v>
      </c>
      <c r="D49" s="82">
        <f t="shared" ref="D49:D50" si="6">(6250/9.8)+16</f>
        <v>653.75510204081627</v>
      </c>
      <c r="E49" s="82">
        <v>16</v>
      </c>
      <c r="F49" s="82">
        <v>15</v>
      </c>
      <c r="G49" s="82">
        <v>2</v>
      </c>
      <c r="H49" s="83">
        <f>SUM(D49:G49)</f>
        <v>686.75510204081627</v>
      </c>
      <c r="I49" s="77"/>
      <c r="J49" s="77"/>
    </row>
    <row r="50" spans="1:10" ht="15.75">
      <c r="A50" s="74" t="s">
        <v>68</v>
      </c>
      <c r="D50" s="82">
        <f t="shared" si="6"/>
        <v>653.75510204081627</v>
      </c>
      <c r="E50" s="82">
        <v>16</v>
      </c>
      <c r="F50" s="82">
        <v>15</v>
      </c>
      <c r="G50" s="82">
        <v>2</v>
      </c>
      <c r="H50" s="83">
        <f>SUM(D50:G50)</f>
        <v>686.75510204081627</v>
      </c>
      <c r="I50" s="77"/>
      <c r="J50" s="77"/>
    </row>
    <row r="51" spans="1:10">
      <c r="D51" s="69"/>
    </row>
    <row r="52" spans="1:10">
      <c r="D52" s="69"/>
    </row>
    <row r="53" spans="1:10">
      <c r="D53" s="69"/>
    </row>
    <row r="54" spans="1:10" ht="20.25">
      <c r="A54" s="73"/>
      <c r="D54" s="80" t="s">
        <v>39</v>
      </c>
      <c r="E54" s="81" t="s">
        <v>39</v>
      </c>
      <c r="F54" s="81" t="s">
        <v>39</v>
      </c>
      <c r="G54" s="81"/>
      <c r="H54" s="81" t="s">
        <v>39</v>
      </c>
      <c r="I54" s="73"/>
      <c r="J54" s="73"/>
    </row>
    <row r="55" spans="1:10" ht="15.75">
      <c r="A55" s="74" t="s">
        <v>69</v>
      </c>
      <c r="D55" s="82">
        <f>(7150/9.8)+16</f>
        <v>745.59183673469386</v>
      </c>
      <c r="E55" s="82">
        <v>16</v>
      </c>
      <c r="F55" s="84">
        <v>15</v>
      </c>
      <c r="G55" s="84">
        <v>2</v>
      </c>
      <c r="H55" s="83">
        <f>SUM(D55:G55)</f>
        <v>778.59183673469386</v>
      </c>
      <c r="I55" s="77"/>
      <c r="J55" s="77"/>
    </row>
    <row r="56" spans="1:10" ht="15.75">
      <c r="A56" s="79" t="s">
        <v>70</v>
      </c>
      <c r="D56" s="82">
        <f t="shared" ref="D56:D57" si="7">(7150/9.8)+16</f>
        <v>745.59183673469386</v>
      </c>
      <c r="E56" s="82">
        <v>16</v>
      </c>
      <c r="F56" s="84">
        <v>15</v>
      </c>
      <c r="G56" s="84">
        <v>2</v>
      </c>
      <c r="H56" s="83">
        <f>SUM(D56:G56)</f>
        <v>778.59183673469386</v>
      </c>
      <c r="I56" s="77"/>
      <c r="J56" s="77"/>
    </row>
    <row r="57" spans="1:10" ht="15.75">
      <c r="A57" s="74" t="s">
        <v>71</v>
      </c>
      <c r="D57" s="82">
        <f t="shared" si="7"/>
        <v>745.59183673469386</v>
      </c>
      <c r="E57" s="82">
        <v>16</v>
      </c>
      <c r="F57" s="84">
        <v>15</v>
      </c>
      <c r="G57" s="84">
        <v>2</v>
      </c>
      <c r="H57" s="83">
        <f>SUM(D57:G57)</f>
        <v>778.59183673469386</v>
      </c>
      <c r="I57" s="77"/>
      <c r="J57" s="77"/>
    </row>
    <row r="58" spans="1:10">
      <c r="D58" s="69"/>
    </row>
    <row r="59" spans="1:10">
      <c r="D59" s="69"/>
    </row>
    <row r="60" spans="1:10">
      <c r="D60" s="69"/>
    </row>
    <row r="61" spans="1:10" ht="20.25">
      <c r="A61" s="73"/>
      <c r="D61" s="80" t="s">
        <v>39</v>
      </c>
      <c r="E61" s="81" t="s">
        <v>39</v>
      </c>
      <c r="F61" s="81" t="s">
        <v>39</v>
      </c>
      <c r="G61" s="81"/>
      <c r="H61" s="81" t="s">
        <v>39</v>
      </c>
      <c r="I61" s="73"/>
      <c r="J61" s="73"/>
    </row>
    <row r="62" spans="1:10" ht="15.75">
      <c r="A62" s="74" t="s">
        <v>72</v>
      </c>
      <c r="D62" s="82">
        <f>(9150/9.8)+16</f>
        <v>949.67346938775506</v>
      </c>
      <c r="E62" s="84">
        <v>16</v>
      </c>
      <c r="F62" s="84">
        <v>15</v>
      </c>
      <c r="G62" s="84">
        <v>2</v>
      </c>
      <c r="H62" s="83">
        <f>SUM(D62:G62)</f>
        <v>982.67346938775506</v>
      </c>
      <c r="I62" s="77"/>
      <c r="J62" s="77"/>
    </row>
    <row r="63" spans="1:10" ht="15.75">
      <c r="A63" s="79" t="s">
        <v>73</v>
      </c>
      <c r="D63" s="82">
        <f t="shared" ref="D63:D64" si="8">(9150/9.8)+16</f>
        <v>949.67346938775506</v>
      </c>
      <c r="E63" s="84">
        <v>16</v>
      </c>
      <c r="F63" s="84">
        <v>15</v>
      </c>
      <c r="G63" s="84">
        <v>2</v>
      </c>
      <c r="H63" s="83">
        <f>SUM(D63:G63)</f>
        <v>982.67346938775506</v>
      </c>
      <c r="I63" s="77"/>
      <c r="J63" s="77"/>
    </row>
    <row r="64" spans="1:10" ht="15.75">
      <c r="A64" s="74" t="s">
        <v>74</v>
      </c>
      <c r="D64" s="82">
        <f t="shared" si="8"/>
        <v>949.67346938775506</v>
      </c>
      <c r="E64" s="84">
        <v>16</v>
      </c>
      <c r="F64" s="84">
        <v>15</v>
      </c>
      <c r="G64" s="84">
        <v>2</v>
      </c>
      <c r="H64" s="83">
        <f>SUM(D64:G64)</f>
        <v>982.67346938775506</v>
      </c>
      <c r="I64" s="77"/>
      <c r="J64" s="77"/>
    </row>
    <row r="65" spans="1:10">
      <c r="D65" s="69"/>
      <c r="E65" s="69"/>
    </row>
    <row r="66" spans="1:10">
      <c r="D66" s="69"/>
      <c r="E66" s="69"/>
    </row>
    <row r="67" spans="1:10">
      <c r="D67" s="69"/>
      <c r="E67" s="69"/>
    </row>
    <row r="68" spans="1:10" ht="20.25">
      <c r="A68" s="73"/>
      <c r="D68" s="80" t="s">
        <v>39</v>
      </c>
      <c r="E68" s="81" t="s">
        <v>39</v>
      </c>
      <c r="F68" s="81" t="s">
        <v>39</v>
      </c>
      <c r="G68" s="81"/>
      <c r="H68" s="81" t="s">
        <v>39</v>
      </c>
      <c r="I68" s="73"/>
      <c r="J68" s="73"/>
    </row>
    <row r="69" spans="1:10" ht="15.75">
      <c r="A69" s="74" t="s">
        <v>75</v>
      </c>
      <c r="D69" s="82">
        <f>(12150/9.8)+16</f>
        <v>1255.7959183673468</v>
      </c>
      <c r="E69" s="84">
        <v>16</v>
      </c>
      <c r="F69" s="84">
        <v>15</v>
      </c>
      <c r="G69" s="84">
        <v>2</v>
      </c>
      <c r="H69" s="83">
        <f>SUM(D69:G69)</f>
        <v>1288.7959183673468</v>
      </c>
      <c r="I69" s="77"/>
      <c r="J69" s="77"/>
    </row>
    <row r="70" spans="1:10" ht="15.75">
      <c r="A70" s="79" t="s">
        <v>76</v>
      </c>
      <c r="D70" s="82">
        <f t="shared" ref="D70:D71" si="9">(12150/9.8)+16</f>
        <v>1255.7959183673468</v>
      </c>
      <c r="E70" s="84">
        <v>16</v>
      </c>
      <c r="F70" s="84">
        <v>15</v>
      </c>
      <c r="G70" s="84">
        <v>2</v>
      </c>
      <c r="H70" s="83">
        <f>SUM(D70:G70)</f>
        <v>1288.7959183673468</v>
      </c>
      <c r="I70" s="77"/>
      <c r="J70" s="77"/>
    </row>
    <row r="71" spans="1:10" ht="15.75">
      <c r="A71" s="74" t="s">
        <v>77</v>
      </c>
      <c r="D71" s="82">
        <f t="shared" si="9"/>
        <v>1255.7959183673468</v>
      </c>
      <c r="E71" s="84">
        <v>16</v>
      </c>
      <c r="F71" s="84">
        <v>15</v>
      </c>
      <c r="G71" s="84">
        <v>2</v>
      </c>
      <c r="H71" s="83">
        <f>SUM(D71:G71)</f>
        <v>1288.7959183673468</v>
      </c>
      <c r="I71" s="77"/>
      <c r="J71" s="77"/>
    </row>
    <row r="72" spans="1:10">
      <c r="D72" s="69"/>
    </row>
  </sheetData>
  <mergeCells count="4">
    <mergeCell ref="A1:H1"/>
    <mergeCell ref="A2:H2"/>
    <mergeCell ref="A3:H3"/>
    <mergeCell ref="A39:H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F636-E9C8-4247-B236-41724454A885}">
  <dimension ref="A1:N120"/>
  <sheetViews>
    <sheetView workbookViewId="0">
      <selection sqref="A1:I1"/>
    </sheetView>
  </sheetViews>
  <sheetFormatPr defaultRowHeight="15"/>
  <cols>
    <col min="2" max="2" width="23.7109375" customWidth="1"/>
    <col min="3" max="3" width="13.7109375" customWidth="1"/>
    <col min="5" max="5" width="10.42578125" customWidth="1"/>
    <col min="6" max="6" width="10.5703125" customWidth="1"/>
    <col min="7" max="7" width="15.5703125" customWidth="1"/>
    <col min="8" max="8" width="12" customWidth="1"/>
    <col min="9" max="10" width="12.28515625" customWidth="1"/>
    <col min="11" max="11" width="9.5703125" bestFit="1" customWidth="1"/>
    <col min="15" max="15" width="12.140625" customWidth="1"/>
    <col min="17" max="17" width="10" bestFit="1" customWidth="1"/>
    <col min="19" max="19" width="12.42578125" customWidth="1"/>
  </cols>
  <sheetData>
    <row r="1" spans="1:13" ht="2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68"/>
      <c r="K1" s="68"/>
    </row>
    <row r="2" spans="1:13" ht="2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68"/>
      <c r="K2" s="68"/>
    </row>
    <row r="3" spans="1:13" ht="42.75">
      <c r="A3" s="302" t="s">
        <v>2</v>
      </c>
      <c r="B3" s="302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3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3" ht="15.75">
      <c r="A5" s="9" t="s">
        <v>79</v>
      </c>
      <c r="C5" s="34">
        <f>(2404*1.03)+100</f>
        <v>2576.12</v>
      </c>
      <c r="D5" s="11">
        <v>80</v>
      </c>
      <c r="E5" s="11">
        <v>20</v>
      </c>
      <c r="F5" s="11">
        <v>120</v>
      </c>
      <c r="G5" s="69">
        <v>0</v>
      </c>
      <c r="H5" s="85">
        <v>13</v>
      </c>
      <c r="I5" s="34">
        <f t="shared" ref="I5:I11" si="0">SUM(C5:H5)</f>
        <v>2809.12</v>
      </c>
    </row>
    <row r="6" spans="1:13" ht="15.75">
      <c r="A6" s="9" t="s">
        <v>80</v>
      </c>
      <c r="C6" s="34">
        <f t="shared" ref="C6:C10" si="1">(2404*1.03)+100</f>
        <v>2576.12</v>
      </c>
      <c r="D6" s="11">
        <v>80</v>
      </c>
      <c r="E6" s="11">
        <v>20</v>
      </c>
      <c r="F6" s="11">
        <v>120</v>
      </c>
      <c r="G6" s="69">
        <v>0</v>
      </c>
      <c r="H6" s="85">
        <v>13</v>
      </c>
      <c r="I6" s="34">
        <f t="shared" si="0"/>
        <v>2809.12</v>
      </c>
    </row>
    <row r="7" spans="1:13" ht="15.75">
      <c r="A7" s="9" t="s">
        <v>81</v>
      </c>
      <c r="C7" s="34">
        <f t="shared" si="1"/>
        <v>2576.12</v>
      </c>
      <c r="D7" s="11">
        <v>80</v>
      </c>
      <c r="E7" s="11">
        <v>20</v>
      </c>
      <c r="F7" s="11">
        <v>120</v>
      </c>
      <c r="G7" s="69">
        <v>0</v>
      </c>
      <c r="H7" s="85">
        <v>13</v>
      </c>
      <c r="I7" s="34">
        <f t="shared" si="0"/>
        <v>2809.12</v>
      </c>
    </row>
    <row r="8" spans="1:13" ht="15.75">
      <c r="A8" s="9" t="s">
        <v>82</v>
      </c>
      <c r="C8" s="34">
        <f t="shared" si="1"/>
        <v>2576.12</v>
      </c>
      <c r="D8" s="11">
        <v>80</v>
      </c>
      <c r="E8" s="11">
        <v>20</v>
      </c>
      <c r="F8" s="11">
        <v>120</v>
      </c>
      <c r="G8" s="69">
        <v>0</v>
      </c>
      <c r="H8" s="85">
        <v>13</v>
      </c>
      <c r="I8" s="34">
        <f t="shared" si="0"/>
        <v>2809.12</v>
      </c>
    </row>
    <row r="9" spans="1:13" ht="15.75">
      <c r="A9" s="9" t="s">
        <v>83</v>
      </c>
      <c r="C9" s="34">
        <f t="shared" si="1"/>
        <v>2576.12</v>
      </c>
      <c r="D9" s="11">
        <v>80</v>
      </c>
      <c r="E9" s="11">
        <v>20</v>
      </c>
      <c r="F9" s="11">
        <v>120</v>
      </c>
      <c r="G9" s="69">
        <v>0</v>
      </c>
      <c r="H9" s="85">
        <v>13</v>
      </c>
      <c r="I9" s="34">
        <f t="shared" si="0"/>
        <v>2809.12</v>
      </c>
    </row>
    <row r="10" spans="1:13" ht="15.75">
      <c r="A10" s="9" t="s">
        <v>84</v>
      </c>
      <c r="C10" s="34">
        <f t="shared" si="1"/>
        <v>2576.12</v>
      </c>
      <c r="D10" s="11">
        <v>80</v>
      </c>
      <c r="E10" s="11">
        <v>20</v>
      </c>
      <c r="F10" s="11">
        <v>120</v>
      </c>
      <c r="G10" s="69">
        <v>0</v>
      </c>
      <c r="H10" s="85">
        <v>13</v>
      </c>
      <c r="I10" s="34">
        <f t="shared" si="0"/>
        <v>2809.12</v>
      </c>
    </row>
    <row r="11" spans="1:13" ht="15.75">
      <c r="A11" t="s">
        <v>20</v>
      </c>
      <c r="C11" s="34">
        <f>(2560*1.03)+100</f>
        <v>2736.8</v>
      </c>
      <c r="D11" s="11">
        <v>80</v>
      </c>
      <c r="E11" s="11">
        <v>20</v>
      </c>
      <c r="F11" s="11">
        <v>120</v>
      </c>
      <c r="G11" s="69">
        <v>0</v>
      </c>
      <c r="H11" s="85">
        <v>13</v>
      </c>
      <c r="I11" s="34">
        <f t="shared" si="0"/>
        <v>2969.8</v>
      </c>
    </row>
    <row r="12" spans="1:13" ht="15.75">
      <c r="A12" s="9"/>
      <c r="C12" s="86"/>
      <c r="D12" s="11"/>
      <c r="E12" s="11"/>
      <c r="F12" s="11"/>
      <c r="I12" s="17"/>
      <c r="J12" s="19"/>
      <c r="K12" s="18"/>
    </row>
    <row r="13" spans="1:13" ht="15.75">
      <c r="A13" s="6" t="s">
        <v>21</v>
      </c>
      <c r="C13" s="86"/>
      <c r="D13" s="87"/>
      <c r="E13" s="87"/>
      <c r="F13" s="87"/>
      <c r="G13" s="11"/>
      <c r="H13" s="11"/>
      <c r="I13" s="87"/>
      <c r="J13" s="87"/>
      <c r="K13" s="18"/>
    </row>
    <row r="14" spans="1:13" ht="15.75">
      <c r="A14" s="9" t="s">
        <v>85</v>
      </c>
      <c r="C14" s="34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  <c r="J14" t="s">
        <v>23</v>
      </c>
      <c r="K14" s="18"/>
      <c r="M14" s="69"/>
    </row>
    <row r="15" spans="1:13" s="88" customFormat="1" ht="15.75">
      <c r="A15" s="24" t="s">
        <v>86</v>
      </c>
      <c r="C15" s="89">
        <f>(2604*1.03)+100</f>
        <v>2782.12</v>
      </c>
      <c r="D15" s="11">
        <v>80</v>
      </c>
      <c r="E15" s="11">
        <v>20</v>
      </c>
      <c r="F15" s="11">
        <v>120</v>
      </c>
      <c r="G15" s="28">
        <v>0</v>
      </c>
      <c r="H15" s="19">
        <v>13</v>
      </c>
      <c r="I15" s="34">
        <f t="shared" si="2"/>
        <v>3015.12</v>
      </c>
      <c r="K15" s="38"/>
      <c r="M15" s="69"/>
    </row>
    <row r="16" spans="1:13" ht="15.75">
      <c r="A16" s="9" t="s">
        <v>87</v>
      </c>
      <c r="C16" s="34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  <c r="K16" s="18"/>
      <c r="M16" s="69"/>
    </row>
    <row r="17" spans="1:13" ht="15.75">
      <c r="A17" s="9" t="s">
        <v>88</v>
      </c>
      <c r="C17" s="34">
        <f>(2726*1.03)+100</f>
        <v>2907.78</v>
      </c>
      <c r="D17" s="11">
        <v>80</v>
      </c>
      <c r="E17" s="11">
        <v>20</v>
      </c>
      <c r="F17" s="11">
        <v>120</v>
      </c>
      <c r="G17" s="69">
        <v>0</v>
      </c>
      <c r="H17" s="19">
        <v>13</v>
      </c>
      <c r="I17" s="34">
        <f t="shared" si="2"/>
        <v>3140.78</v>
      </c>
      <c r="K17" s="18"/>
      <c r="M17" s="69"/>
    </row>
    <row r="18" spans="1:13" ht="15.75">
      <c r="A18" s="9" t="s">
        <v>89</v>
      </c>
      <c r="C18" s="34">
        <f>(2849*1.03)+100</f>
        <v>3034.4700000000003</v>
      </c>
      <c r="D18" s="11">
        <v>80</v>
      </c>
      <c r="E18" s="11">
        <v>20</v>
      </c>
      <c r="F18" s="11">
        <v>120</v>
      </c>
      <c r="G18" s="69">
        <v>0</v>
      </c>
      <c r="H18" s="19">
        <v>13</v>
      </c>
      <c r="I18" s="34">
        <f t="shared" si="2"/>
        <v>3267.4700000000003</v>
      </c>
      <c r="K18" s="18"/>
      <c r="M18" s="69"/>
    </row>
    <row r="19" spans="1:13" ht="15.75">
      <c r="A19" s="9" t="s">
        <v>90</v>
      </c>
      <c r="C19" s="34">
        <f>(2716*1.03)+100</f>
        <v>2897.48</v>
      </c>
      <c r="D19" s="11">
        <v>80</v>
      </c>
      <c r="E19" s="11">
        <v>20</v>
      </c>
      <c r="F19" s="11">
        <v>120</v>
      </c>
      <c r="G19" s="69">
        <v>0</v>
      </c>
      <c r="H19" s="19">
        <v>13</v>
      </c>
      <c r="I19" s="34">
        <f t="shared" si="2"/>
        <v>3130.48</v>
      </c>
      <c r="K19" s="18"/>
      <c r="M19" s="69"/>
    </row>
    <row r="20" spans="1:13" ht="15.75">
      <c r="A20" s="9" t="s">
        <v>91</v>
      </c>
      <c r="C20" s="34">
        <f>(2716*1.03)+100</f>
        <v>2897.48</v>
      </c>
      <c r="D20" s="11">
        <v>80</v>
      </c>
      <c r="E20" s="11">
        <v>20</v>
      </c>
      <c r="F20" s="11">
        <v>120</v>
      </c>
      <c r="G20" s="69">
        <v>0</v>
      </c>
      <c r="H20" s="19">
        <v>13</v>
      </c>
      <c r="I20" s="34">
        <f t="shared" si="2"/>
        <v>3130.48</v>
      </c>
      <c r="K20" s="18"/>
      <c r="M20" s="69"/>
    </row>
    <row r="21" spans="1:13" ht="15.75">
      <c r="A21" s="9" t="s">
        <v>92</v>
      </c>
      <c r="C21" s="34">
        <f>(2716*1.03)+100</f>
        <v>2897.48</v>
      </c>
      <c r="D21" s="11">
        <v>80</v>
      </c>
      <c r="E21" s="11">
        <v>20</v>
      </c>
      <c r="F21" s="11">
        <v>120</v>
      </c>
      <c r="G21" s="69">
        <v>0</v>
      </c>
      <c r="H21" s="19">
        <v>13</v>
      </c>
      <c r="I21" s="34">
        <f t="shared" si="2"/>
        <v>3130.48</v>
      </c>
      <c r="K21" s="18"/>
      <c r="M21" s="69"/>
    </row>
    <row r="22" spans="1:13" ht="15.75">
      <c r="A22" s="9" t="s">
        <v>93</v>
      </c>
      <c r="C22" s="34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  <c r="K22" s="18"/>
      <c r="M22" s="69"/>
    </row>
    <row r="23" spans="1:13" ht="15.75">
      <c r="A23" s="9" t="s">
        <v>94</v>
      </c>
      <c r="C23" s="34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  <c r="K23" s="18"/>
      <c r="M23" s="69"/>
    </row>
    <row r="24" spans="1:13" s="88" customFormat="1" ht="15.75">
      <c r="A24" s="24" t="s">
        <v>95</v>
      </c>
      <c r="C24" s="89">
        <f>(2098*1.03)+100</f>
        <v>2260.94</v>
      </c>
      <c r="D24" s="11">
        <v>80</v>
      </c>
      <c r="E24" s="11">
        <v>20</v>
      </c>
      <c r="F24" s="11">
        <v>120</v>
      </c>
      <c r="G24" s="31">
        <v>0</v>
      </c>
      <c r="H24" s="19">
        <v>13</v>
      </c>
      <c r="I24" s="34">
        <f t="shared" si="2"/>
        <v>2493.94</v>
      </c>
      <c r="K24" s="38"/>
      <c r="M24" s="69"/>
    </row>
    <row r="25" spans="1:13" ht="15.75">
      <c r="A25" s="9"/>
      <c r="C25" s="86"/>
      <c r="D25" s="11"/>
      <c r="E25" s="11"/>
      <c r="F25" s="11"/>
      <c r="I25" s="69"/>
      <c r="J25" s="90"/>
      <c r="K25" s="18"/>
    </row>
    <row r="26" spans="1:13" ht="15.75">
      <c r="A26" s="9"/>
      <c r="C26" s="86"/>
      <c r="D26" s="11"/>
      <c r="E26" s="11"/>
      <c r="F26" s="11"/>
      <c r="G26" s="11"/>
      <c r="H26" s="11"/>
      <c r="I26" s="22"/>
      <c r="J26" s="19"/>
      <c r="K26" s="18"/>
    </row>
    <row r="27" spans="1:13" ht="15.75">
      <c r="A27" s="6" t="s">
        <v>96</v>
      </c>
      <c r="C27" s="86"/>
      <c r="D27" s="87"/>
      <c r="E27" s="87"/>
      <c r="F27" s="87"/>
      <c r="G27" s="11"/>
      <c r="H27" s="11"/>
      <c r="I27" s="87"/>
      <c r="J27" s="87"/>
      <c r="K27" s="18"/>
    </row>
    <row r="28" spans="1:13" ht="15.75">
      <c r="A28" s="9" t="s">
        <v>97</v>
      </c>
      <c r="C28" s="86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9">
        <v>13</v>
      </c>
      <c r="I28" s="34">
        <f>SUM(C28:H28)</f>
        <v>6303.9800000000005</v>
      </c>
    </row>
    <row r="29" spans="1:13" ht="15.75">
      <c r="A29" s="9"/>
      <c r="C29" s="87"/>
      <c r="D29" s="87"/>
      <c r="E29" s="87"/>
      <c r="F29" s="87"/>
      <c r="G29" s="11"/>
      <c r="H29" s="11"/>
      <c r="I29" s="87"/>
      <c r="J29" s="87"/>
    </row>
    <row r="30" spans="1:13" ht="15.75">
      <c r="A30" s="9"/>
      <c r="C30" s="87"/>
      <c r="D30" s="87"/>
      <c r="E30" s="87"/>
      <c r="F30" s="87"/>
      <c r="G30" s="11"/>
      <c r="H30" s="11"/>
      <c r="I30" s="87"/>
      <c r="J30" s="87"/>
    </row>
    <row r="31" spans="1:13">
      <c r="G31" s="87"/>
      <c r="H31" s="87"/>
    </row>
    <row r="36" spans="1:11" ht="20.25">
      <c r="A36" s="299" t="s">
        <v>37</v>
      </c>
      <c r="B36" s="299"/>
      <c r="C36" s="299"/>
      <c r="D36" s="299"/>
      <c r="E36" s="299"/>
      <c r="F36" s="299"/>
      <c r="G36" s="299"/>
      <c r="H36" s="299"/>
      <c r="I36" s="299"/>
      <c r="J36" s="68"/>
      <c r="K36" s="68"/>
    </row>
    <row r="37" spans="1:11" ht="20.25">
      <c r="A37" s="299" t="s">
        <v>38</v>
      </c>
      <c r="B37" s="299"/>
      <c r="C37" s="299"/>
      <c r="D37" s="299"/>
      <c r="E37" s="299"/>
      <c r="F37" s="299"/>
      <c r="G37" s="299"/>
      <c r="H37" s="299"/>
      <c r="I37" s="299"/>
      <c r="J37" s="68"/>
      <c r="K37" s="68"/>
    </row>
    <row r="38" spans="1:11" ht="42.75">
      <c r="A38" s="302" t="s">
        <v>2</v>
      </c>
      <c r="B38" s="302"/>
      <c r="C38" s="2" t="s">
        <v>3</v>
      </c>
      <c r="D38" s="3" t="s">
        <v>4</v>
      </c>
      <c r="E38" s="4" t="s">
        <v>5</v>
      </c>
      <c r="F38" s="4" t="s">
        <v>6</v>
      </c>
      <c r="G38" s="4" t="s">
        <v>8</v>
      </c>
      <c r="H38" s="4" t="s">
        <v>9</v>
      </c>
      <c r="I38" s="58" t="s">
        <v>10</v>
      </c>
    </row>
    <row r="39" spans="1:11" ht="15.75">
      <c r="A39" s="6" t="s">
        <v>11</v>
      </c>
      <c r="C39" s="35" t="s">
        <v>39</v>
      </c>
      <c r="D39" s="35" t="s">
        <v>39</v>
      </c>
      <c r="E39" s="35" t="s">
        <v>39</v>
      </c>
      <c r="F39" s="35" t="s">
        <v>39</v>
      </c>
      <c r="G39" s="35" t="s">
        <v>39</v>
      </c>
      <c r="H39" s="35" t="s">
        <v>39</v>
      </c>
      <c r="I39" s="35" t="s">
        <v>39</v>
      </c>
    </row>
    <row r="40" spans="1:11" ht="15.75">
      <c r="A40" s="9" t="s">
        <v>79</v>
      </c>
      <c r="B40" s="88"/>
      <c r="C40" s="38">
        <f>1524+16</f>
        <v>1540</v>
      </c>
      <c r="D40" s="27">
        <v>9</v>
      </c>
      <c r="E40" s="27">
        <v>2</v>
      </c>
      <c r="F40" s="27">
        <v>15</v>
      </c>
      <c r="G40" s="31">
        <v>0</v>
      </c>
      <c r="H40" s="41">
        <v>2</v>
      </c>
      <c r="I40" s="38">
        <f t="shared" ref="I40:I45" si="3">SUM(C40:H40)</f>
        <v>1568</v>
      </c>
    </row>
    <row r="41" spans="1:11" ht="15.75">
      <c r="A41" s="9" t="s">
        <v>80</v>
      </c>
      <c r="B41" s="88"/>
      <c r="C41" s="38">
        <f t="shared" ref="C41:C45" si="4">1524+16</f>
        <v>1540</v>
      </c>
      <c r="D41" s="27">
        <v>9</v>
      </c>
      <c r="E41" s="27">
        <v>2</v>
      </c>
      <c r="F41" s="27">
        <v>15</v>
      </c>
      <c r="G41" s="31">
        <v>0</v>
      </c>
      <c r="H41" s="41">
        <v>2</v>
      </c>
      <c r="I41" s="38">
        <f t="shared" si="3"/>
        <v>1568</v>
      </c>
    </row>
    <row r="42" spans="1:11" ht="15.75">
      <c r="A42" s="9" t="s">
        <v>81</v>
      </c>
      <c r="B42" s="88"/>
      <c r="C42" s="38">
        <f t="shared" si="4"/>
        <v>1540</v>
      </c>
      <c r="D42" s="27">
        <v>9</v>
      </c>
      <c r="E42" s="27">
        <v>2</v>
      </c>
      <c r="F42" s="27">
        <v>15</v>
      </c>
      <c r="G42" s="31">
        <v>0</v>
      </c>
      <c r="H42" s="41">
        <v>2</v>
      </c>
      <c r="I42" s="38">
        <f t="shared" si="3"/>
        <v>1568</v>
      </c>
    </row>
    <row r="43" spans="1:11" ht="15.75">
      <c r="A43" s="9" t="s">
        <v>82</v>
      </c>
      <c r="B43" s="88"/>
      <c r="C43" s="38">
        <f t="shared" si="4"/>
        <v>1540</v>
      </c>
      <c r="D43" s="27">
        <v>9</v>
      </c>
      <c r="E43" s="27">
        <v>2</v>
      </c>
      <c r="F43" s="27">
        <v>15</v>
      </c>
      <c r="G43" s="31">
        <v>0</v>
      </c>
      <c r="H43" s="41">
        <v>2</v>
      </c>
      <c r="I43" s="38">
        <f t="shared" si="3"/>
        <v>1568</v>
      </c>
    </row>
    <row r="44" spans="1:11" ht="15.75">
      <c r="A44" s="9" t="s">
        <v>83</v>
      </c>
      <c r="B44" s="88"/>
      <c r="C44" s="38">
        <f t="shared" si="4"/>
        <v>1540</v>
      </c>
      <c r="D44" s="27">
        <v>9</v>
      </c>
      <c r="E44" s="27">
        <v>2</v>
      </c>
      <c r="F44" s="27">
        <v>15</v>
      </c>
      <c r="G44" s="31">
        <v>0</v>
      </c>
      <c r="H44" s="41">
        <v>2</v>
      </c>
      <c r="I44" s="38">
        <f t="shared" si="3"/>
        <v>1568</v>
      </c>
    </row>
    <row r="45" spans="1:11" ht="15.75">
      <c r="A45" s="9" t="s">
        <v>84</v>
      </c>
      <c r="B45" s="88"/>
      <c r="C45" s="38">
        <f t="shared" si="4"/>
        <v>1540</v>
      </c>
      <c r="D45" s="27">
        <v>9</v>
      </c>
      <c r="E45" s="27">
        <v>2</v>
      </c>
      <c r="F45" s="27">
        <v>15</v>
      </c>
      <c r="G45" s="31">
        <v>0</v>
      </c>
      <c r="H45" s="41">
        <v>2</v>
      </c>
      <c r="I45" s="38">
        <f t="shared" si="3"/>
        <v>1568</v>
      </c>
    </row>
    <row r="46" spans="1:11" ht="15.75">
      <c r="A46" s="9"/>
      <c r="C46" s="18"/>
      <c r="D46" s="11"/>
      <c r="E46" s="11"/>
      <c r="F46" s="11"/>
      <c r="I46" s="22"/>
      <c r="J46" s="19"/>
      <c r="K46" s="38"/>
    </row>
    <row r="47" spans="1:11" ht="15.75">
      <c r="A47" s="9"/>
      <c r="C47" s="18"/>
      <c r="D47" s="11"/>
      <c r="E47" s="11"/>
      <c r="F47" s="11"/>
      <c r="I47" s="22"/>
      <c r="J47" s="19"/>
      <c r="K47" s="38"/>
    </row>
    <row r="48" spans="1:11" ht="15.75">
      <c r="A48" s="6" t="s">
        <v>21</v>
      </c>
      <c r="C48" s="87"/>
      <c r="D48" s="87"/>
      <c r="E48" s="87"/>
      <c r="F48" s="87"/>
      <c r="I48" s="87"/>
      <c r="J48" s="87"/>
      <c r="K48" s="38"/>
    </row>
    <row r="49" spans="1:13" s="88" customFormat="1" ht="15.75">
      <c r="A49" s="9" t="s">
        <v>85</v>
      </c>
      <c r="C49" s="38">
        <f>1469+16</f>
        <v>1485</v>
      </c>
      <c r="D49" s="27">
        <v>9</v>
      </c>
      <c r="E49" s="27">
        <v>2</v>
      </c>
      <c r="F49" s="27">
        <v>15</v>
      </c>
      <c r="G49" s="28">
        <v>0</v>
      </c>
      <c r="H49" s="41">
        <v>2</v>
      </c>
      <c r="I49" s="38">
        <f t="shared" ref="I49:I59" si="5">SUM(C49:H49)</f>
        <v>1513</v>
      </c>
    </row>
    <row r="50" spans="1:13" s="88" customFormat="1" ht="15.75">
      <c r="A50" s="24" t="s">
        <v>86</v>
      </c>
      <c r="C50" s="38">
        <f>1349+16</f>
        <v>1365</v>
      </c>
      <c r="D50" s="27">
        <v>9</v>
      </c>
      <c r="E50" s="27">
        <v>2</v>
      </c>
      <c r="F50" s="27">
        <v>15</v>
      </c>
      <c r="G50" s="28">
        <v>0</v>
      </c>
      <c r="H50" s="41">
        <v>2</v>
      </c>
      <c r="I50" s="38">
        <f t="shared" si="5"/>
        <v>1393</v>
      </c>
    </row>
    <row r="51" spans="1:13" s="88" customFormat="1" ht="15.75">
      <c r="A51" s="9" t="s">
        <v>87</v>
      </c>
      <c r="C51" s="38">
        <f>1349+16</f>
        <v>1365</v>
      </c>
      <c r="D51" s="27">
        <v>9</v>
      </c>
      <c r="E51" s="27">
        <v>2</v>
      </c>
      <c r="F51" s="27">
        <v>15</v>
      </c>
      <c r="G51" s="28">
        <v>0</v>
      </c>
      <c r="H51" s="41">
        <v>2</v>
      </c>
      <c r="I51" s="38">
        <f t="shared" si="5"/>
        <v>1393</v>
      </c>
    </row>
    <row r="52" spans="1:13" s="88" customFormat="1" ht="15.75">
      <c r="A52" s="9" t="s">
        <v>88</v>
      </c>
      <c r="C52" s="38">
        <f>1382+16</f>
        <v>1398</v>
      </c>
      <c r="D52" s="27">
        <v>9</v>
      </c>
      <c r="E52" s="27">
        <v>2</v>
      </c>
      <c r="F52" s="27">
        <v>15</v>
      </c>
      <c r="G52" s="28">
        <v>0</v>
      </c>
      <c r="H52" s="41">
        <v>2</v>
      </c>
      <c r="I52" s="38">
        <f t="shared" si="5"/>
        <v>1426</v>
      </c>
    </row>
    <row r="53" spans="1:13" s="88" customFormat="1" ht="15.75">
      <c r="A53" s="9" t="s">
        <v>89</v>
      </c>
      <c r="C53" s="38">
        <f>1469+16</f>
        <v>1485</v>
      </c>
      <c r="D53" s="27">
        <v>9</v>
      </c>
      <c r="E53" s="27">
        <v>2</v>
      </c>
      <c r="F53" s="27">
        <v>15</v>
      </c>
      <c r="G53" s="28">
        <v>0</v>
      </c>
      <c r="H53" s="41">
        <v>2</v>
      </c>
      <c r="I53" s="38">
        <f t="shared" si="5"/>
        <v>1513</v>
      </c>
    </row>
    <row r="54" spans="1:13" s="88" customFormat="1" ht="15.75">
      <c r="A54" s="9" t="s">
        <v>90</v>
      </c>
      <c r="C54" s="38">
        <f>1369+16</f>
        <v>1385</v>
      </c>
      <c r="D54" s="27">
        <v>9</v>
      </c>
      <c r="E54" s="27">
        <v>2</v>
      </c>
      <c r="F54" s="27">
        <v>15</v>
      </c>
      <c r="G54" s="28">
        <v>0</v>
      </c>
      <c r="H54" s="41">
        <v>2</v>
      </c>
      <c r="I54" s="38">
        <f t="shared" si="5"/>
        <v>1413</v>
      </c>
    </row>
    <row r="55" spans="1:13" s="88" customFormat="1" ht="15.75">
      <c r="A55" s="9" t="s">
        <v>91</v>
      </c>
      <c r="C55" s="38">
        <f t="shared" ref="C55:C58" si="6">1369+16</f>
        <v>1385</v>
      </c>
      <c r="D55" s="27">
        <v>9</v>
      </c>
      <c r="E55" s="27">
        <v>2</v>
      </c>
      <c r="F55" s="27">
        <v>15</v>
      </c>
      <c r="G55" s="28">
        <v>0</v>
      </c>
      <c r="H55" s="41">
        <v>2</v>
      </c>
      <c r="I55" s="38">
        <f t="shared" si="5"/>
        <v>1413</v>
      </c>
    </row>
    <row r="56" spans="1:13" s="88" customFormat="1" ht="15.75">
      <c r="A56" s="9" t="s">
        <v>92</v>
      </c>
      <c r="C56" s="38">
        <f t="shared" si="6"/>
        <v>1385</v>
      </c>
      <c r="D56" s="27">
        <v>9</v>
      </c>
      <c r="E56" s="27">
        <v>2</v>
      </c>
      <c r="F56" s="27">
        <v>15</v>
      </c>
      <c r="G56" s="28">
        <v>0</v>
      </c>
      <c r="H56" s="41">
        <v>2</v>
      </c>
      <c r="I56" s="38">
        <f t="shared" si="5"/>
        <v>1413</v>
      </c>
    </row>
    <row r="57" spans="1:13" ht="15.75">
      <c r="A57" s="9" t="s">
        <v>93</v>
      </c>
      <c r="B57" s="88"/>
      <c r="C57" s="38">
        <f t="shared" si="6"/>
        <v>1385</v>
      </c>
      <c r="D57" s="27">
        <v>9</v>
      </c>
      <c r="E57" s="27">
        <v>2</v>
      </c>
      <c r="F57" s="27">
        <v>15</v>
      </c>
      <c r="G57" s="28">
        <v>0</v>
      </c>
      <c r="H57" s="41">
        <v>2</v>
      </c>
      <c r="I57" s="38">
        <f t="shared" si="5"/>
        <v>1413</v>
      </c>
      <c r="J57" s="88"/>
      <c r="K57" s="88"/>
    </row>
    <row r="58" spans="1:13" ht="15.75">
      <c r="A58" s="9" t="s">
        <v>94</v>
      </c>
      <c r="B58" s="88"/>
      <c r="C58" s="38">
        <f t="shared" si="6"/>
        <v>1385</v>
      </c>
      <c r="D58" s="27">
        <v>9</v>
      </c>
      <c r="E58" s="27">
        <v>2</v>
      </c>
      <c r="F58" s="27">
        <v>15</v>
      </c>
      <c r="G58" s="28">
        <v>0</v>
      </c>
      <c r="H58" s="41">
        <v>2</v>
      </c>
      <c r="I58" s="38">
        <f t="shared" si="5"/>
        <v>1413</v>
      </c>
      <c r="J58" s="88"/>
      <c r="K58" s="88"/>
    </row>
    <row r="59" spans="1:13" ht="15.75">
      <c r="A59" s="24" t="s">
        <v>95</v>
      </c>
      <c r="B59" s="88"/>
      <c r="C59" s="38">
        <f>1349+16</f>
        <v>1365</v>
      </c>
      <c r="D59" s="27">
        <v>9</v>
      </c>
      <c r="E59" s="27">
        <v>2</v>
      </c>
      <c r="F59" s="27">
        <v>15</v>
      </c>
      <c r="G59" s="28">
        <v>0</v>
      </c>
      <c r="H59" s="41">
        <v>2</v>
      </c>
      <c r="I59" s="38">
        <f t="shared" si="5"/>
        <v>1393</v>
      </c>
      <c r="J59" s="88"/>
      <c r="K59" s="88"/>
    </row>
    <row r="60" spans="1:13" ht="15.75">
      <c r="A60" s="24"/>
      <c r="B60" s="88"/>
      <c r="C60" s="38"/>
      <c r="D60" s="27"/>
      <c r="E60" s="27"/>
      <c r="F60" s="27"/>
      <c r="I60" s="28"/>
      <c r="J60" s="41"/>
      <c r="K60" s="38"/>
      <c r="L60" s="88"/>
      <c r="M60" s="88"/>
    </row>
    <row r="61" spans="1:13" ht="15.75">
      <c r="A61" s="24"/>
      <c r="B61" s="88"/>
      <c r="C61" s="38"/>
      <c r="D61" s="27"/>
      <c r="E61" s="27"/>
      <c r="F61" s="27"/>
      <c r="I61" s="28"/>
      <c r="J61" s="41"/>
      <c r="K61" s="38"/>
      <c r="L61" s="88"/>
      <c r="M61" s="88"/>
    </row>
    <row r="62" spans="1:13" ht="15.75">
      <c r="A62" s="6" t="s">
        <v>96</v>
      </c>
      <c r="C62" s="87"/>
      <c r="D62" s="87"/>
      <c r="E62" s="87"/>
      <c r="F62" s="87"/>
      <c r="I62" s="87"/>
      <c r="J62" s="87"/>
      <c r="K62" s="38"/>
    </row>
    <row r="63" spans="1:13" ht="15.75">
      <c r="A63" s="9" t="s">
        <v>98</v>
      </c>
      <c r="C63" s="18">
        <f>3080+16</f>
        <v>3096</v>
      </c>
      <c r="D63" s="27">
        <v>9</v>
      </c>
      <c r="E63" s="27">
        <v>2</v>
      </c>
      <c r="F63" s="27">
        <v>15</v>
      </c>
      <c r="G63" s="17">
        <v>0</v>
      </c>
      <c r="H63" s="19">
        <v>2</v>
      </c>
      <c r="I63" s="38">
        <f>SUM(C63:H63)</f>
        <v>3124</v>
      </c>
    </row>
    <row r="64" spans="1:13" ht="15.75">
      <c r="A64" s="9"/>
      <c r="C64" s="87"/>
      <c r="D64" s="87"/>
      <c r="E64" s="87"/>
      <c r="F64" s="87"/>
      <c r="G64" s="27"/>
      <c r="H64" s="27"/>
      <c r="I64" s="87"/>
      <c r="J64" s="87"/>
    </row>
    <row r="65" spans="1:11" ht="15.75">
      <c r="A65" s="9"/>
      <c r="G65" s="27"/>
      <c r="H65" s="27"/>
    </row>
    <row r="66" spans="1:11" ht="15.75">
      <c r="G66" s="27"/>
      <c r="H66" s="27"/>
    </row>
    <row r="67" spans="1:11" ht="15.75">
      <c r="A67" s="33"/>
      <c r="G67" s="27"/>
      <c r="H67" s="27"/>
    </row>
    <row r="68" spans="1:11" ht="15.75">
      <c r="A68" s="33"/>
      <c r="G68" s="87"/>
      <c r="H68" s="87"/>
    </row>
    <row r="69" spans="1:11" ht="15.75">
      <c r="A69" s="33"/>
    </row>
    <row r="70" spans="1:11" ht="15.75">
      <c r="A70" s="33"/>
    </row>
    <row r="71" spans="1:11" ht="15.75">
      <c r="A71" s="33"/>
    </row>
    <row r="72" spans="1:11" ht="20.25">
      <c r="A72" s="299" t="s">
        <v>37</v>
      </c>
      <c r="B72" s="299"/>
      <c r="C72" s="299"/>
      <c r="D72" s="299"/>
      <c r="E72" s="299"/>
      <c r="F72" s="299"/>
      <c r="G72" s="299"/>
      <c r="H72" s="299"/>
      <c r="I72" s="299"/>
      <c r="J72" s="68"/>
      <c r="K72" s="68"/>
    </row>
    <row r="73" spans="1:11" ht="23.25">
      <c r="A73" s="309" t="s">
        <v>52</v>
      </c>
      <c r="B73" s="309"/>
      <c r="C73" s="309"/>
      <c r="D73" s="309"/>
      <c r="E73" s="309"/>
      <c r="F73" s="309"/>
      <c r="G73" s="309"/>
      <c r="H73" s="309"/>
      <c r="I73" s="309"/>
      <c r="J73" s="297"/>
      <c r="K73" s="297"/>
    </row>
    <row r="74" spans="1:11" ht="42.75">
      <c r="A74" s="302" t="s">
        <v>2</v>
      </c>
      <c r="B74" s="302"/>
      <c r="C74" s="2" t="s">
        <v>3</v>
      </c>
      <c r="D74" s="3" t="s">
        <v>4</v>
      </c>
      <c r="E74" s="4" t="s">
        <v>5</v>
      </c>
      <c r="F74" s="4" t="s">
        <v>6</v>
      </c>
      <c r="G74" s="4" t="s">
        <v>8</v>
      </c>
      <c r="H74" s="4" t="s">
        <v>9</v>
      </c>
      <c r="I74" s="58" t="s">
        <v>10</v>
      </c>
    </row>
    <row r="75" spans="1:11" ht="15.75">
      <c r="A75" s="91" t="s">
        <v>11</v>
      </c>
      <c r="B75" s="74"/>
      <c r="C75" s="35" t="s">
        <v>12</v>
      </c>
      <c r="D75" s="35" t="s">
        <v>12</v>
      </c>
      <c r="E75" s="35" t="s">
        <v>12</v>
      </c>
      <c r="F75" s="7" t="s">
        <v>12</v>
      </c>
      <c r="G75" s="35" t="s">
        <v>12</v>
      </c>
      <c r="H75" s="35" t="s">
        <v>12</v>
      </c>
      <c r="I75" s="35" t="s">
        <v>12</v>
      </c>
    </row>
    <row r="76" spans="1:11" ht="15.75">
      <c r="A76" s="9" t="s">
        <v>97</v>
      </c>
      <c r="C76" s="92">
        <f>(2182*1.03)+100</f>
        <v>2347.46</v>
      </c>
      <c r="D76" s="93">
        <v>80</v>
      </c>
      <c r="E76" s="87">
        <v>20</v>
      </c>
      <c r="F76" s="93">
        <v>0</v>
      </c>
      <c r="G76" s="93">
        <v>0</v>
      </c>
      <c r="H76" s="85">
        <v>13</v>
      </c>
      <c r="I76" s="94">
        <f>SUM(C76:H76)</f>
        <v>2460.46</v>
      </c>
    </row>
    <row r="77" spans="1:11" ht="15.75">
      <c r="A77" s="33" t="s">
        <v>53</v>
      </c>
      <c r="C77" s="92">
        <f>(1892*1.03)+100</f>
        <v>2048.7600000000002</v>
      </c>
      <c r="D77" s="95">
        <v>80</v>
      </c>
      <c r="E77" s="93">
        <v>20</v>
      </c>
      <c r="F77" s="95">
        <v>0</v>
      </c>
      <c r="G77" s="96">
        <v>0</v>
      </c>
      <c r="H77" s="85">
        <v>13</v>
      </c>
      <c r="I77" s="94">
        <f>SUM(C77:H77)</f>
        <v>2161.7600000000002</v>
      </c>
    </row>
    <row r="78" spans="1:11" ht="15.75">
      <c r="A78" s="9"/>
      <c r="C78" s="92"/>
      <c r="D78" s="93"/>
      <c r="E78" s="87"/>
      <c r="F78" s="87"/>
      <c r="G78" s="87"/>
      <c r="H78" s="87"/>
      <c r="I78" s="93"/>
      <c r="J78" s="85"/>
      <c r="K78" s="94"/>
    </row>
    <row r="79" spans="1:11" ht="15.75">
      <c r="A79" s="9"/>
      <c r="C79" s="97"/>
      <c r="D79" s="95"/>
      <c r="E79" s="87"/>
      <c r="F79" s="95"/>
      <c r="I79" s="96"/>
      <c r="J79" s="87"/>
    </row>
    <row r="80" spans="1:11" ht="15.75">
      <c r="A80" s="9"/>
      <c r="C80" s="97"/>
      <c r="D80" s="95"/>
      <c r="E80" s="87"/>
      <c r="F80" s="95"/>
      <c r="I80" s="96"/>
      <c r="J80" s="87"/>
    </row>
    <row r="81" spans="1:14" ht="15.75">
      <c r="A81" s="9"/>
      <c r="C81" s="98"/>
    </row>
    <row r="82" spans="1:14" ht="15.75">
      <c r="A82" s="9"/>
      <c r="C82" s="98"/>
    </row>
    <row r="83" spans="1:14" ht="15.75">
      <c r="A83" s="9"/>
      <c r="C83" s="98"/>
      <c r="G83" s="95"/>
      <c r="H83" s="95"/>
    </row>
    <row r="84" spans="1:14" ht="20.25">
      <c r="A84" s="299" t="s">
        <v>0</v>
      </c>
      <c r="B84" s="299"/>
      <c r="C84" s="299"/>
      <c r="D84" s="299"/>
      <c r="E84" s="299"/>
      <c r="F84" s="299"/>
      <c r="G84" s="299"/>
      <c r="H84" s="299"/>
      <c r="I84" s="299"/>
      <c r="J84" s="68"/>
      <c r="K84" s="68"/>
    </row>
    <row r="85" spans="1:14" ht="20.25">
      <c r="A85" s="299" t="s">
        <v>54</v>
      </c>
      <c r="B85" s="299"/>
      <c r="C85" s="299"/>
      <c r="D85" s="299"/>
      <c r="E85" s="299"/>
      <c r="F85" s="299"/>
      <c r="G85" s="299"/>
      <c r="H85" s="299"/>
      <c r="I85" s="299"/>
      <c r="J85" s="68"/>
      <c r="K85" s="68"/>
    </row>
    <row r="86" spans="1:14" ht="42.75">
      <c r="A86" s="302" t="s">
        <v>2</v>
      </c>
      <c r="B86" s="302"/>
      <c r="C86" s="2" t="s">
        <v>3</v>
      </c>
      <c r="D86" s="3" t="s">
        <v>4</v>
      </c>
      <c r="E86" s="4" t="s">
        <v>5</v>
      </c>
      <c r="F86" s="4" t="s">
        <v>6</v>
      </c>
      <c r="G86" s="4" t="s">
        <v>8</v>
      </c>
      <c r="H86" s="4" t="s">
        <v>9</v>
      </c>
      <c r="I86" s="58" t="s">
        <v>10</v>
      </c>
    </row>
    <row r="87" spans="1:14" ht="15.75">
      <c r="A87" s="91" t="s">
        <v>11</v>
      </c>
      <c r="B87" s="74"/>
      <c r="C87" s="35" t="s">
        <v>12</v>
      </c>
      <c r="D87" s="35" t="s">
        <v>12</v>
      </c>
      <c r="E87" s="35" t="s">
        <v>12</v>
      </c>
      <c r="F87" s="7" t="s">
        <v>12</v>
      </c>
      <c r="G87" s="35" t="s">
        <v>12</v>
      </c>
      <c r="H87" s="35" t="s">
        <v>12</v>
      </c>
      <c r="I87" s="35" t="s">
        <v>12</v>
      </c>
    </row>
    <row r="88" spans="1:14" ht="15.75">
      <c r="A88" s="9" t="s">
        <v>99</v>
      </c>
      <c r="C88" s="92">
        <f>(1558*1.03)+100</f>
        <v>1704.74</v>
      </c>
      <c r="D88" s="97">
        <v>80</v>
      </c>
      <c r="E88" s="97">
        <v>20</v>
      </c>
      <c r="F88" s="98">
        <v>0</v>
      </c>
      <c r="G88" s="98">
        <v>0</v>
      </c>
      <c r="H88" s="99">
        <v>13</v>
      </c>
      <c r="I88" s="92">
        <f>SUM(C88:H88)</f>
        <v>1817.74</v>
      </c>
    </row>
    <row r="90" spans="1:14">
      <c r="L90" s="69"/>
    </row>
    <row r="91" spans="1:14">
      <c r="N91" s="100"/>
    </row>
    <row r="92" spans="1:14" ht="20.25">
      <c r="A92" s="299" t="s">
        <v>37</v>
      </c>
      <c r="B92" s="299"/>
      <c r="C92" s="299"/>
      <c r="D92" s="299"/>
      <c r="E92" s="299"/>
      <c r="F92" s="299"/>
      <c r="G92" s="299"/>
      <c r="H92" s="299"/>
      <c r="I92" s="299"/>
      <c r="J92" s="144"/>
    </row>
    <row r="93" spans="1:14" ht="18.75">
      <c r="A93" s="303" t="s">
        <v>55</v>
      </c>
      <c r="B93" s="303"/>
      <c r="C93" s="303"/>
      <c r="D93" s="303"/>
      <c r="E93" s="303"/>
      <c r="F93" s="303"/>
      <c r="G93" s="303"/>
      <c r="H93" s="303"/>
      <c r="I93" s="303"/>
      <c r="J93" s="145"/>
    </row>
    <row r="94" spans="1:14" ht="42.75">
      <c r="A94" s="145"/>
      <c r="B94" s="145"/>
      <c r="C94" s="2" t="s">
        <v>3</v>
      </c>
      <c r="D94" s="3" t="s">
        <v>4</v>
      </c>
      <c r="E94" s="4" t="s">
        <v>5</v>
      </c>
      <c r="F94" s="4" t="s">
        <v>6</v>
      </c>
      <c r="G94" s="4" t="s">
        <v>9</v>
      </c>
      <c r="H94" s="58" t="s">
        <v>10</v>
      </c>
    </row>
    <row r="95" spans="1:14" ht="15.75">
      <c r="A95" s="91" t="s">
        <v>11</v>
      </c>
      <c r="B95" s="74"/>
      <c r="C95" s="35" t="s">
        <v>39</v>
      </c>
      <c r="D95" s="35" t="s">
        <v>39</v>
      </c>
      <c r="E95" s="35" t="s">
        <v>39</v>
      </c>
      <c r="F95" s="35" t="s">
        <v>39</v>
      </c>
      <c r="G95" s="35" t="s">
        <v>39</v>
      </c>
      <c r="H95" s="35" t="s">
        <v>39</v>
      </c>
    </row>
    <row r="96" spans="1:14" ht="15.75">
      <c r="A96" s="310" t="s">
        <v>97</v>
      </c>
      <c r="B96" s="310"/>
      <c r="C96" s="97">
        <f>439+16</f>
        <v>455</v>
      </c>
      <c r="D96" s="97">
        <v>9</v>
      </c>
      <c r="E96" s="97">
        <v>2</v>
      </c>
      <c r="F96" s="98">
        <v>0</v>
      </c>
      <c r="G96" s="97">
        <v>2</v>
      </c>
      <c r="H96" s="97">
        <f>SUM(C96:G96)</f>
        <v>468</v>
      </c>
    </row>
    <row r="98" spans="1:10">
      <c r="G98" s="87"/>
      <c r="H98" s="87"/>
    </row>
    <row r="105" spans="1:10" ht="26.25">
      <c r="A105" s="311" t="s">
        <v>56</v>
      </c>
      <c r="B105" s="311"/>
      <c r="C105" s="311"/>
      <c r="D105" s="311"/>
      <c r="E105" s="311"/>
      <c r="F105" s="311"/>
      <c r="G105" s="311"/>
      <c r="H105" s="149"/>
      <c r="I105" s="149"/>
      <c r="J105" s="149"/>
    </row>
    <row r="106" spans="1:10" ht="18.75">
      <c r="A106" s="303" t="s">
        <v>0</v>
      </c>
      <c r="B106" s="303"/>
      <c r="C106" s="303"/>
      <c r="D106" s="303"/>
      <c r="E106" s="303"/>
      <c r="F106" s="303"/>
      <c r="G106" s="303"/>
      <c r="H106" s="145"/>
      <c r="I106" s="145"/>
      <c r="J106" s="145"/>
    </row>
    <row r="107" spans="1:10" ht="21">
      <c r="A107" s="307" t="s">
        <v>57</v>
      </c>
      <c r="B107" s="307"/>
      <c r="C107" s="307"/>
      <c r="D107" s="307"/>
      <c r="E107" s="307"/>
      <c r="F107" s="307"/>
      <c r="G107" s="307"/>
      <c r="H107" s="147"/>
      <c r="I107" s="147"/>
      <c r="J107" s="147"/>
    </row>
    <row r="108" spans="1:10" ht="57">
      <c r="A108" s="147"/>
      <c r="B108" s="147"/>
      <c r="C108" s="2" t="s">
        <v>3</v>
      </c>
      <c r="D108" s="4" t="s">
        <v>58</v>
      </c>
      <c r="E108" s="4" t="s">
        <v>6</v>
      </c>
      <c r="F108" s="4" t="s">
        <v>9</v>
      </c>
      <c r="G108" s="58" t="s">
        <v>10</v>
      </c>
    </row>
    <row r="109" spans="1:10" ht="21">
      <c r="A109" s="147"/>
      <c r="B109" s="147"/>
      <c r="C109" s="148" t="s">
        <v>12</v>
      </c>
      <c r="D109" s="148" t="s">
        <v>12</v>
      </c>
      <c r="E109" s="148" t="s">
        <v>12</v>
      </c>
      <c r="F109" s="148" t="s">
        <v>12</v>
      </c>
      <c r="G109" s="148" t="s">
        <v>12</v>
      </c>
    </row>
    <row r="110" spans="1:10">
      <c r="A110" t="s">
        <v>59</v>
      </c>
      <c r="C110" s="82">
        <f>(2949*1.03)+100</f>
        <v>3137.4700000000003</v>
      </c>
      <c r="D110">
        <v>100</v>
      </c>
      <c r="E110">
        <v>120</v>
      </c>
      <c r="F110" s="83">
        <v>13</v>
      </c>
      <c r="G110" s="83">
        <f>SUM(C110:F110)</f>
        <v>3370.4700000000003</v>
      </c>
    </row>
    <row r="111" spans="1:10">
      <c r="A111" t="s">
        <v>60</v>
      </c>
      <c r="C111" s="82">
        <f>(2949*1.03)+100</f>
        <v>3137.4700000000003</v>
      </c>
      <c r="D111">
        <v>100</v>
      </c>
      <c r="E111">
        <v>120</v>
      </c>
      <c r="F111" s="83">
        <v>13</v>
      </c>
      <c r="G111" s="83">
        <f>SUM(C111:F111)</f>
        <v>3370.4700000000003</v>
      </c>
    </row>
    <row r="116" spans="1:10" ht="18.75">
      <c r="A116" s="312" t="s">
        <v>100</v>
      </c>
      <c r="B116" s="312"/>
      <c r="C116" s="312"/>
      <c r="D116" s="312"/>
      <c r="E116" s="312"/>
      <c r="F116" s="312"/>
      <c r="G116" s="312"/>
      <c r="H116" s="312"/>
      <c r="I116" s="298"/>
      <c r="J116" s="148"/>
    </row>
    <row r="117" spans="1:10" ht="42.75">
      <c r="C117" s="65" t="s">
        <v>3</v>
      </c>
      <c r="D117" s="3" t="s">
        <v>4</v>
      </c>
      <c r="E117" s="4" t="s">
        <v>5</v>
      </c>
      <c r="F117" s="4" t="s">
        <v>6</v>
      </c>
      <c r="G117" s="4" t="s">
        <v>9</v>
      </c>
      <c r="H117" s="5" t="s">
        <v>10</v>
      </c>
    </row>
    <row r="118" spans="1:10" ht="18.75">
      <c r="C118" s="101" t="s">
        <v>39</v>
      </c>
      <c r="D118" s="35" t="s">
        <v>39</v>
      </c>
      <c r="E118" s="35" t="s">
        <v>39</v>
      </c>
      <c r="F118" s="101" t="s">
        <v>39</v>
      </c>
      <c r="G118" s="101" t="s">
        <v>39</v>
      </c>
      <c r="H118" s="101" t="s">
        <v>39</v>
      </c>
    </row>
    <row r="119" spans="1:10">
      <c r="A119" s="88" t="s">
        <v>59</v>
      </c>
      <c r="C119" s="102">
        <f>482+16</f>
        <v>498</v>
      </c>
      <c r="D119" s="92">
        <v>9</v>
      </c>
      <c r="E119" s="92">
        <v>2</v>
      </c>
      <c r="F119" s="82">
        <v>15</v>
      </c>
      <c r="G119" s="103">
        <v>2</v>
      </c>
      <c r="H119" s="103">
        <f>SUM(C119:G119)</f>
        <v>526</v>
      </c>
    </row>
    <row r="120" spans="1:10">
      <c r="A120" s="88" t="s">
        <v>60</v>
      </c>
      <c r="C120" s="102">
        <f>482+16</f>
        <v>498</v>
      </c>
      <c r="D120" s="82">
        <v>9</v>
      </c>
      <c r="E120" s="82">
        <v>2</v>
      </c>
      <c r="F120" s="82">
        <v>15</v>
      </c>
      <c r="G120" s="103">
        <v>2</v>
      </c>
      <c r="H120" s="103">
        <f>SUM(C120:G120)</f>
        <v>526</v>
      </c>
    </row>
  </sheetData>
  <mergeCells count="19">
    <mergeCell ref="A107:G107"/>
    <mergeCell ref="A116:H116"/>
    <mergeCell ref="A92:I92"/>
    <mergeCell ref="A93:I93"/>
    <mergeCell ref="A96:B96"/>
    <mergeCell ref="A105:G105"/>
    <mergeCell ref="A106:G106"/>
    <mergeCell ref="A86:B86"/>
    <mergeCell ref="A3:B3"/>
    <mergeCell ref="A38:B38"/>
    <mergeCell ref="A74:B74"/>
    <mergeCell ref="A1:I1"/>
    <mergeCell ref="A2:I2"/>
    <mergeCell ref="A36:I36"/>
    <mergeCell ref="A37:I37"/>
    <mergeCell ref="A72:I72"/>
    <mergeCell ref="A73:I73"/>
    <mergeCell ref="A84:I84"/>
    <mergeCell ref="A85:I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B837-8234-4381-A205-7D24B98B03DD}">
  <dimension ref="A1:M92"/>
  <sheetViews>
    <sheetView workbookViewId="0">
      <selection sqref="A1:I1"/>
    </sheetView>
  </sheetViews>
  <sheetFormatPr defaultRowHeight="15"/>
  <cols>
    <col min="2" max="2" width="23.7109375" customWidth="1"/>
    <col min="3" max="3" width="13.7109375" customWidth="1"/>
    <col min="5" max="6" width="10.42578125" customWidth="1"/>
    <col min="7" max="7" width="16.7109375" customWidth="1"/>
    <col min="8" max="8" width="15.85546875" customWidth="1"/>
    <col min="9" max="9" width="10.5703125" customWidth="1"/>
    <col min="10" max="10" width="12.140625" customWidth="1"/>
    <col min="11" max="11" width="12.28515625" customWidth="1"/>
    <col min="18" max="18" width="10" bestFit="1" customWidth="1"/>
  </cols>
  <sheetData>
    <row r="1" spans="1:11" ht="2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68"/>
      <c r="K1" s="68"/>
    </row>
    <row r="2" spans="1:11" ht="2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68"/>
      <c r="K2" s="68"/>
    </row>
    <row r="3" spans="1:11" ht="42.75">
      <c r="A3" s="302" t="s">
        <v>2</v>
      </c>
      <c r="B3" s="302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1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1" ht="15.75">
      <c r="A5" s="9" t="s">
        <v>160</v>
      </c>
      <c r="C5" s="34">
        <f>(2404*1.03)+100</f>
        <v>2576.12</v>
      </c>
      <c r="D5" s="11">
        <v>80</v>
      </c>
      <c r="E5" s="11">
        <v>20</v>
      </c>
      <c r="F5" s="11">
        <v>120</v>
      </c>
      <c r="G5" s="69">
        <v>0</v>
      </c>
      <c r="H5" s="85">
        <v>13</v>
      </c>
      <c r="I5" s="34">
        <f t="shared" ref="I5:I11" si="0">SUM(C5:H5)</f>
        <v>2809.12</v>
      </c>
      <c r="K5" s="86"/>
    </row>
    <row r="6" spans="1:11" ht="15.75">
      <c r="A6" s="9" t="s">
        <v>161</v>
      </c>
      <c r="C6" s="34">
        <f t="shared" ref="C6:C10" si="1">(2404*1.03)+100</f>
        <v>2576.12</v>
      </c>
      <c r="D6" s="11">
        <v>80</v>
      </c>
      <c r="E6" s="11">
        <v>20</v>
      </c>
      <c r="F6" s="11">
        <v>120</v>
      </c>
      <c r="G6" s="69">
        <v>0</v>
      </c>
      <c r="H6" s="85">
        <v>13</v>
      </c>
      <c r="I6" s="34">
        <f t="shared" si="0"/>
        <v>2809.12</v>
      </c>
    </row>
    <row r="7" spans="1:11" ht="15.75">
      <c r="A7" s="9" t="s">
        <v>162</v>
      </c>
      <c r="C7" s="34">
        <f t="shared" si="1"/>
        <v>2576.12</v>
      </c>
      <c r="D7" s="11">
        <v>80</v>
      </c>
      <c r="E7" s="11">
        <v>20</v>
      </c>
      <c r="F7" s="11">
        <v>120</v>
      </c>
      <c r="G7" s="69">
        <v>0</v>
      </c>
      <c r="H7" s="85">
        <v>13</v>
      </c>
      <c r="I7" s="34">
        <f t="shared" si="0"/>
        <v>2809.12</v>
      </c>
    </row>
    <row r="8" spans="1:11" ht="15.75">
      <c r="A8" s="9" t="s">
        <v>163</v>
      </c>
      <c r="C8" s="34">
        <f t="shared" si="1"/>
        <v>2576.12</v>
      </c>
      <c r="D8" s="11">
        <v>80</v>
      </c>
      <c r="E8" s="11">
        <v>20</v>
      </c>
      <c r="F8" s="11">
        <v>120</v>
      </c>
      <c r="G8" s="69">
        <v>0</v>
      </c>
      <c r="H8" s="85">
        <v>13</v>
      </c>
      <c r="I8" s="34">
        <f t="shared" si="0"/>
        <v>2809.12</v>
      </c>
    </row>
    <row r="9" spans="1:11" ht="15.75">
      <c r="A9" s="9" t="s">
        <v>164</v>
      </c>
      <c r="C9" s="34">
        <f t="shared" si="1"/>
        <v>2576.12</v>
      </c>
      <c r="D9" s="11">
        <v>80</v>
      </c>
      <c r="E9" s="11">
        <v>20</v>
      </c>
      <c r="F9" s="11">
        <v>120</v>
      </c>
      <c r="G9" s="69">
        <v>0</v>
      </c>
      <c r="H9" s="85">
        <v>13</v>
      </c>
      <c r="I9" s="34">
        <f t="shared" si="0"/>
        <v>2809.12</v>
      </c>
    </row>
    <row r="10" spans="1:11" ht="15.75">
      <c r="A10" s="9" t="s">
        <v>165</v>
      </c>
      <c r="C10" s="34">
        <f t="shared" si="1"/>
        <v>2576.12</v>
      </c>
      <c r="D10" s="11">
        <v>80</v>
      </c>
      <c r="E10" s="11">
        <v>20</v>
      </c>
      <c r="F10" s="11">
        <v>120</v>
      </c>
      <c r="G10" s="69">
        <v>0</v>
      </c>
      <c r="H10" s="85">
        <v>13</v>
      </c>
      <c r="I10" s="34">
        <f t="shared" si="0"/>
        <v>2809.12</v>
      </c>
    </row>
    <row r="11" spans="1:11" s="214" customFormat="1" ht="15.75">
      <c r="A11" t="s">
        <v>166</v>
      </c>
      <c r="C11" s="34">
        <f>(2560*1.03)+100</f>
        <v>2736.8</v>
      </c>
      <c r="D11" s="11">
        <v>80</v>
      </c>
      <c r="E11" s="11">
        <v>20</v>
      </c>
      <c r="F11" s="11">
        <v>120</v>
      </c>
      <c r="G11" s="215">
        <v>0</v>
      </c>
      <c r="H11" s="85">
        <v>13</v>
      </c>
      <c r="I11" s="34">
        <f t="shared" si="0"/>
        <v>2969.8</v>
      </c>
    </row>
    <row r="12" spans="1:11" ht="15.75">
      <c r="A12" s="9"/>
      <c r="C12" s="86"/>
      <c r="D12" s="11"/>
      <c r="E12" s="11"/>
      <c r="F12" s="11"/>
      <c r="G12" s="17"/>
      <c r="H12" s="19"/>
      <c r="I12" s="18"/>
    </row>
    <row r="13" spans="1:11" ht="15.75">
      <c r="A13" s="6" t="s">
        <v>21</v>
      </c>
      <c r="C13" s="86"/>
      <c r="D13" s="87"/>
      <c r="E13" s="87"/>
      <c r="F13" s="87"/>
      <c r="G13" s="87"/>
      <c r="H13" s="87"/>
      <c r="I13" s="18"/>
    </row>
    <row r="14" spans="1:11" ht="15.75">
      <c r="A14" s="9" t="s">
        <v>167</v>
      </c>
      <c r="C14" s="34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</row>
    <row r="15" spans="1:11" ht="15.75">
      <c r="A15" s="9" t="s">
        <v>168</v>
      </c>
      <c r="C15" s="89">
        <f>(2604*1.03)+100</f>
        <v>2782.12</v>
      </c>
      <c r="D15" s="11">
        <v>80</v>
      </c>
      <c r="E15" s="11">
        <v>20</v>
      </c>
      <c r="F15" s="11">
        <v>120</v>
      </c>
      <c r="G15" s="22">
        <v>0</v>
      </c>
      <c r="H15" s="19">
        <v>13</v>
      </c>
      <c r="I15" s="34">
        <f t="shared" si="2"/>
        <v>3015.12</v>
      </c>
    </row>
    <row r="16" spans="1:11" ht="15.75">
      <c r="A16" s="9" t="s">
        <v>169</v>
      </c>
      <c r="C16" s="34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</row>
    <row r="17" spans="1:11" ht="15.75">
      <c r="A17" s="9" t="s">
        <v>170</v>
      </c>
      <c r="C17" s="34">
        <f>(2726*1.03)+100</f>
        <v>2907.78</v>
      </c>
      <c r="D17" s="11">
        <v>80</v>
      </c>
      <c r="E17" s="11">
        <v>20</v>
      </c>
      <c r="F17" s="11">
        <v>120</v>
      </c>
      <c r="G17" s="69">
        <v>0</v>
      </c>
      <c r="H17" s="19">
        <v>13</v>
      </c>
      <c r="I17" s="34">
        <f t="shared" si="2"/>
        <v>3140.78</v>
      </c>
    </row>
    <row r="18" spans="1:11" ht="15.75">
      <c r="A18" s="9" t="s">
        <v>171</v>
      </c>
      <c r="C18" s="34">
        <f>(2849*1.03)+100</f>
        <v>3034.4700000000003</v>
      </c>
      <c r="D18" s="11">
        <v>80</v>
      </c>
      <c r="E18" s="11">
        <v>20</v>
      </c>
      <c r="F18" s="11">
        <v>120</v>
      </c>
      <c r="G18" s="69"/>
      <c r="H18" s="19">
        <v>13</v>
      </c>
      <c r="I18" s="34">
        <f t="shared" si="2"/>
        <v>3267.4700000000003</v>
      </c>
    </row>
    <row r="19" spans="1:11" ht="15.75">
      <c r="A19" s="9" t="s">
        <v>172</v>
      </c>
      <c r="C19" s="34">
        <f>(2716*1.03)+100</f>
        <v>2897.48</v>
      </c>
      <c r="D19" s="11">
        <v>80</v>
      </c>
      <c r="E19" s="11">
        <v>20</v>
      </c>
      <c r="F19" s="11">
        <v>120</v>
      </c>
      <c r="G19" s="69">
        <v>0</v>
      </c>
      <c r="H19" s="19">
        <v>13</v>
      </c>
      <c r="I19" s="34">
        <f t="shared" si="2"/>
        <v>3130.48</v>
      </c>
    </row>
    <row r="20" spans="1:11" ht="15.75">
      <c r="A20" s="9" t="s">
        <v>173</v>
      </c>
      <c r="C20" s="34">
        <f>(2716*1.03)+100</f>
        <v>2897.48</v>
      </c>
      <c r="D20" s="11">
        <v>80</v>
      </c>
      <c r="E20" s="11">
        <v>20</v>
      </c>
      <c r="F20" s="11">
        <v>120</v>
      </c>
      <c r="G20" s="69">
        <v>0</v>
      </c>
      <c r="H20" s="19">
        <v>13</v>
      </c>
      <c r="I20" s="34">
        <f t="shared" si="2"/>
        <v>3130.48</v>
      </c>
    </row>
    <row r="21" spans="1:11" ht="15.75">
      <c r="A21" s="9" t="s">
        <v>174</v>
      </c>
      <c r="C21" s="34">
        <f>(2716*1.03)+100</f>
        <v>2897.48</v>
      </c>
      <c r="D21" s="11">
        <v>80</v>
      </c>
      <c r="E21" s="11">
        <v>20</v>
      </c>
      <c r="F21" s="11">
        <v>120</v>
      </c>
      <c r="G21" s="69">
        <v>0</v>
      </c>
      <c r="H21" s="19">
        <v>13</v>
      </c>
      <c r="I21" s="34">
        <f t="shared" si="2"/>
        <v>3130.48</v>
      </c>
    </row>
    <row r="22" spans="1:11" ht="15.75">
      <c r="A22" s="9" t="s">
        <v>175</v>
      </c>
      <c r="C22" s="34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</row>
    <row r="23" spans="1:11" ht="15.75">
      <c r="A23" s="9" t="s">
        <v>176</v>
      </c>
      <c r="C23" s="34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</row>
    <row r="24" spans="1:11" ht="15.75">
      <c r="A24" s="9" t="s">
        <v>177</v>
      </c>
      <c r="C24" s="89">
        <f>(2098*1.03)+100</f>
        <v>2260.94</v>
      </c>
      <c r="D24" s="11">
        <v>80</v>
      </c>
      <c r="E24" s="11">
        <v>20</v>
      </c>
      <c r="F24" s="11">
        <v>120</v>
      </c>
      <c r="G24" s="17">
        <v>0</v>
      </c>
      <c r="H24" s="19">
        <v>13</v>
      </c>
      <c r="I24" s="34">
        <f t="shared" si="2"/>
        <v>2493.94</v>
      </c>
    </row>
    <row r="25" spans="1:11" ht="15.75">
      <c r="A25" s="9"/>
      <c r="C25" s="86"/>
      <c r="D25" s="11"/>
      <c r="E25" s="11"/>
      <c r="F25" s="11"/>
      <c r="G25" s="69"/>
      <c r="H25" s="90"/>
      <c r="I25" s="18"/>
    </row>
    <row r="26" spans="1:11" ht="15.75">
      <c r="A26" s="9"/>
      <c r="C26" s="86"/>
      <c r="D26" s="11"/>
      <c r="E26" s="11"/>
      <c r="F26" s="11"/>
      <c r="G26" s="22"/>
      <c r="H26" s="19"/>
      <c r="I26" s="18"/>
    </row>
    <row r="27" spans="1:11" ht="15.75">
      <c r="A27" s="6" t="s">
        <v>96</v>
      </c>
      <c r="C27" s="86"/>
      <c r="D27" s="87"/>
      <c r="E27" s="87"/>
      <c r="F27" s="87"/>
      <c r="G27" s="87"/>
      <c r="H27" s="87"/>
      <c r="I27" s="18"/>
    </row>
    <row r="28" spans="1:11" ht="15.75">
      <c r="A28" s="9" t="s">
        <v>178</v>
      </c>
      <c r="C28" s="86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9">
        <v>13</v>
      </c>
      <c r="I28" s="34">
        <f>SUM(C28:H28)</f>
        <v>6303.9800000000005</v>
      </c>
    </row>
    <row r="29" spans="1:11" ht="15.75">
      <c r="A29" s="9"/>
      <c r="C29" s="87"/>
      <c r="D29" s="87"/>
      <c r="E29" s="87"/>
      <c r="F29" s="87"/>
      <c r="G29" s="87"/>
      <c r="H29" s="87"/>
      <c r="I29" s="87"/>
      <c r="J29" s="87"/>
      <c r="K29" s="87"/>
    </row>
    <row r="30" spans="1:11" ht="15.75">
      <c r="A30" s="9"/>
      <c r="C30" s="87"/>
      <c r="D30" s="87"/>
      <c r="E30" s="87"/>
      <c r="F30" s="87"/>
      <c r="G30" s="87"/>
      <c r="H30" s="87"/>
      <c r="I30" s="87"/>
      <c r="J30" s="87"/>
      <c r="K30" s="87"/>
    </row>
    <row r="35" spans="1:13" ht="20.25">
      <c r="A35" s="299" t="s">
        <v>0</v>
      </c>
      <c r="B35" s="299"/>
      <c r="C35" s="299"/>
      <c r="D35" s="299"/>
      <c r="E35" s="299"/>
      <c r="F35" s="299"/>
      <c r="G35" s="299"/>
      <c r="H35" s="299"/>
      <c r="I35" s="299"/>
      <c r="J35" s="68"/>
      <c r="K35" s="68"/>
    </row>
    <row r="36" spans="1:13" ht="20.25">
      <c r="A36" s="299" t="s">
        <v>38</v>
      </c>
      <c r="B36" s="299"/>
      <c r="C36" s="299"/>
      <c r="D36" s="299"/>
      <c r="E36" s="299"/>
      <c r="F36" s="299"/>
      <c r="G36" s="299"/>
      <c r="H36" s="299"/>
      <c r="I36" s="299"/>
      <c r="J36" s="68"/>
      <c r="K36" s="68"/>
    </row>
    <row r="37" spans="1:13" ht="42.75">
      <c r="A37" s="302" t="s">
        <v>2</v>
      </c>
      <c r="B37" s="302"/>
      <c r="C37" s="2" t="s">
        <v>3</v>
      </c>
      <c r="D37" s="3" t="s">
        <v>4</v>
      </c>
      <c r="E37" s="4" t="s">
        <v>5</v>
      </c>
      <c r="F37" s="4" t="s">
        <v>6</v>
      </c>
      <c r="G37" s="4" t="s">
        <v>8</v>
      </c>
      <c r="H37" s="4" t="s">
        <v>9</v>
      </c>
      <c r="I37" s="58" t="s">
        <v>10</v>
      </c>
    </row>
    <row r="38" spans="1:13" ht="15.75">
      <c r="A38" s="6" t="s">
        <v>11</v>
      </c>
      <c r="C38" s="35" t="s">
        <v>39</v>
      </c>
      <c r="D38" s="35" t="s">
        <v>39</v>
      </c>
      <c r="E38" s="35" t="s">
        <v>39</v>
      </c>
      <c r="F38" s="35" t="s">
        <v>39</v>
      </c>
      <c r="G38" s="35" t="s">
        <v>39</v>
      </c>
      <c r="H38" s="35" t="s">
        <v>39</v>
      </c>
      <c r="I38" s="35" t="s">
        <v>39</v>
      </c>
    </row>
    <row r="39" spans="1:13" ht="15.75">
      <c r="A39" s="9" t="s">
        <v>160</v>
      </c>
      <c r="C39" s="18">
        <f>1524+16</f>
        <v>1540</v>
      </c>
      <c r="D39" s="11">
        <v>9</v>
      </c>
      <c r="E39" s="11">
        <v>2</v>
      </c>
      <c r="F39" s="11">
        <v>15</v>
      </c>
      <c r="G39" s="17">
        <v>0</v>
      </c>
      <c r="H39" s="19">
        <v>2</v>
      </c>
      <c r="I39" s="18">
        <f t="shared" ref="I39:I44" si="3">SUM(C39:H39)</f>
        <v>1568</v>
      </c>
    </row>
    <row r="40" spans="1:13" ht="15.75">
      <c r="A40" s="9" t="s">
        <v>161</v>
      </c>
      <c r="C40" s="18">
        <f t="shared" ref="C40:C44" si="4">1524+16</f>
        <v>1540</v>
      </c>
      <c r="D40" s="11">
        <v>9</v>
      </c>
      <c r="E40" s="11">
        <v>2</v>
      </c>
      <c r="F40" s="11">
        <v>15</v>
      </c>
      <c r="G40" s="17">
        <v>0</v>
      </c>
      <c r="H40" s="19">
        <v>2</v>
      </c>
      <c r="I40" s="18">
        <f t="shared" si="3"/>
        <v>1568</v>
      </c>
    </row>
    <row r="41" spans="1:13" ht="15.75">
      <c r="A41" s="9" t="s">
        <v>162</v>
      </c>
      <c r="C41" s="18">
        <f t="shared" si="4"/>
        <v>1540</v>
      </c>
      <c r="D41" s="11">
        <v>9</v>
      </c>
      <c r="E41" s="11">
        <v>2</v>
      </c>
      <c r="F41" s="11">
        <v>15</v>
      </c>
      <c r="G41" s="17">
        <v>0</v>
      </c>
      <c r="H41" s="19">
        <v>2</v>
      </c>
      <c r="I41" s="18">
        <f t="shared" si="3"/>
        <v>1568</v>
      </c>
    </row>
    <row r="42" spans="1:13" ht="15.75">
      <c r="A42" s="9" t="s">
        <v>163</v>
      </c>
      <c r="C42" s="18">
        <f t="shared" si="4"/>
        <v>1540</v>
      </c>
      <c r="D42" s="11">
        <v>9</v>
      </c>
      <c r="E42" s="11">
        <v>2</v>
      </c>
      <c r="F42" s="11">
        <v>15</v>
      </c>
      <c r="G42" s="17">
        <v>0</v>
      </c>
      <c r="H42" s="19">
        <v>2</v>
      </c>
      <c r="I42" s="18">
        <f t="shared" si="3"/>
        <v>1568</v>
      </c>
    </row>
    <row r="43" spans="1:13" ht="15.75">
      <c r="A43" s="9" t="s">
        <v>164</v>
      </c>
      <c r="C43" s="18">
        <f t="shared" si="4"/>
        <v>1540</v>
      </c>
      <c r="D43" s="11">
        <v>9</v>
      </c>
      <c r="E43" s="11">
        <v>2</v>
      </c>
      <c r="F43" s="11">
        <v>15</v>
      </c>
      <c r="G43" s="17">
        <v>0</v>
      </c>
      <c r="H43" s="19">
        <v>2</v>
      </c>
      <c r="I43" s="18">
        <f t="shared" si="3"/>
        <v>1568</v>
      </c>
    </row>
    <row r="44" spans="1:13" ht="15.75">
      <c r="A44" s="216" t="s">
        <v>165</v>
      </c>
      <c r="B44" s="214"/>
      <c r="C44" s="18">
        <f t="shared" si="4"/>
        <v>1540</v>
      </c>
      <c r="D44" s="11">
        <v>9</v>
      </c>
      <c r="E44" s="11">
        <v>2</v>
      </c>
      <c r="F44" s="11">
        <v>15</v>
      </c>
      <c r="G44" s="217">
        <v>0</v>
      </c>
      <c r="H44" s="19">
        <v>2</v>
      </c>
      <c r="I44" s="18">
        <f t="shared" si="3"/>
        <v>1568</v>
      </c>
    </row>
    <row r="45" spans="1:13" ht="15.75">
      <c r="A45" s="9"/>
      <c r="C45" s="18"/>
      <c r="D45" s="11"/>
      <c r="E45" s="11"/>
      <c r="F45" s="11"/>
      <c r="G45" s="22"/>
      <c r="H45" s="19"/>
      <c r="I45" s="18"/>
    </row>
    <row r="46" spans="1:13" ht="15.75">
      <c r="A46" s="9"/>
      <c r="C46" s="18"/>
      <c r="D46" s="11"/>
      <c r="E46" s="11"/>
      <c r="F46" s="11"/>
      <c r="G46" s="22"/>
      <c r="H46" s="19"/>
      <c r="I46" s="18"/>
    </row>
    <row r="47" spans="1:13" ht="15.75">
      <c r="A47" s="6" t="s">
        <v>21</v>
      </c>
      <c r="C47" s="87"/>
      <c r="D47" s="87"/>
      <c r="E47" s="87"/>
      <c r="F47" s="87"/>
      <c r="G47" s="87"/>
      <c r="H47" s="87"/>
      <c r="I47" s="18"/>
    </row>
    <row r="48" spans="1:13" ht="15.75">
      <c r="A48" s="9" t="s">
        <v>167</v>
      </c>
      <c r="C48" s="38">
        <f>1469+16</f>
        <v>1485</v>
      </c>
      <c r="D48" s="11">
        <v>9</v>
      </c>
      <c r="E48" s="11">
        <v>2</v>
      </c>
      <c r="F48" s="11">
        <v>15</v>
      </c>
      <c r="G48" s="22">
        <v>0</v>
      </c>
      <c r="H48" s="19">
        <v>2</v>
      </c>
      <c r="I48" s="18">
        <f t="shared" ref="I48:I58" si="5">SUM(C48:H48)</f>
        <v>1513</v>
      </c>
      <c r="M48" s="78"/>
    </row>
    <row r="49" spans="1:13" ht="15.75">
      <c r="A49" s="9" t="s">
        <v>168</v>
      </c>
      <c r="C49" s="38">
        <f>1349+16</f>
        <v>1365</v>
      </c>
      <c r="D49" s="11">
        <v>9</v>
      </c>
      <c r="E49" s="11">
        <v>2</v>
      </c>
      <c r="F49" s="11">
        <v>15</v>
      </c>
      <c r="G49" s="22"/>
      <c r="H49" s="19">
        <v>2</v>
      </c>
      <c r="I49" s="18">
        <f t="shared" si="5"/>
        <v>1393</v>
      </c>
      <c r="M49" s="78"/>
    </row>
    <row r="50" spans="1:13" ht="15.75">
      <c r="A50" s="9" t="s">
        <v>169</v>
      </c>
      <c r="C50" s="38">
        <f>1349+16</f>
        <v>1365</v>
      </c>
      <c r="D50" s="11">
        <v>9</v>
      </c>
      <c r="E50" s="11">
        <v>2</v>
      </c>
      <c r="F50" s="11">
        <v>15</v>
      </c>
      <c r="G50" s="22"/>
      <c r="H50" s="19">
        <v>2</v>
      </c>
      <c r="I50" s="18">
        <f t="shared" si="5"/>
        <v>1393</v>
      </c>
      <c r="M50" s="78"/>
    </row>
    <row r="51" spans="1:13" ht="15.75">
      <c r="A51" s="9" t="s">
        <v>170</v>
      </c>
      <c r="C51" s="38">
        <f>1382+16</f>
        <v>1398</v>
      </c>
      <c r="D51" s="11">
        <v>9</v>
      </c>
      <c r="E51" s="11">
        <v>2</v>
      </c>
      <c r="F51" s="11">
        <v>15</v>
      </c>
      <c r="G51" s="22">
        <v>0</v>
      </c>
      <c r="H51" s="19">
        <v>2</v>
      </c>
      <c r="I51" s="18">
        <f t="shared" si="5"/>
        <v>1426</v>
      </c>
      <c r="M51" s="78"/>
    </row>
    <row r="52" spans="1:13" ht="15.75">
      <c r="A52" s="9" t="s">
        <v>171</v>
      </c>
      <c r="C52" s="38">
        <f>1469+16</f>
        <v>1485</v>
      </c>
      <c r="D52" s="11">
        <v>9</v>
      </c>
      <c r="E52" s="11">
        <v>2</v>
      </c>
      <c r="F52" s="11">
        <v>15</v>
      </c>
      <c r="G52" s="22">
        <v>0</v>
      </c>
      <c r="H52" s="19">
        <v>2</v>
      </c>
      <c r="I52" s="18">
        <f t="shared" si="5"/>
        <v>1513</v>
      </c>
      <c r="M52" s="78"/>
    </row>
    <row r="53" spans="1:13" ht="15.75">
      <c r="A53" s="9" t="s">
        <v>172</v>
      </c>
      <c r="C53" s="38">
        <f>1369+16</f>
        <v>1385</v>
      </c>
      <c r="D53" s="11">
        <v>9</v>
      </c>
      <c r="E53" s="11">
        <v>2</v>
      </c>
      <c r="F53" s="11">
        <v>15</v>
      </c>
      <c r="G53" s="22"/>
      <c r="H53" s="19">
        <v>2</v>
      </c>
      <c r="I53" s="18">
        <f t="shared" si="5"/>
        <v>1413</v>
      </c>
      <c r="M53" s="78"/>
    </row>
    <row r="54" spans="1:13" ht="15.75">
      <c r="A54" s="9" t="s">
        <v>173</v>
      </c>
      <c r="C54" s="38">
        <f t="shared" ref="C54:C57" si="6">1369+16</f>
        <v>1385</v>
      </c>
      <c r="D54" s="11">
        <v>9</v>
      </c>
      <c r="E54" s="11">
        <v>2</v>
      </c>
      <c r="F54" s="11">
        <v>15</v>
      </c>
      <c r="G54" s="22"/>
      <c r="H54" s="19">
        <v>2</v>
      </c>
      <c r="I54" s="18">
        <f t="shared" si="5"/>
        <v>1413</v>
      </c>
      <c r="M54" s="78"/>
    </row>
    <row r="55" spans="1:13" ht="15.75">
      <c r="A55" s="9" t="s">
        <v>174</v>
      </c>
      <c r="C55" s="38">
        <f t="shared" si="6"/>
        <v>1385</v>
      </c>
      <c r="D55" s="11">
        <v>9</v>
      </c>
      <c r="E55" s="11">
        <v>2</v>
      </c>
      <c r="F55" s="11">
        <v>15</v>
      </c>
      <c r="G55" s="22"/>
      <c r="H55" s="19">
        <v>2</v>
      </c>
      <c r="I55" s="18">
        <f t="shared" si="5"/>
        <v>1413</v>
      </c>
      <c r="M55" s="78"/>
    </row>
    <row r="56" spans="1:13" ht="15.75">
      <c r="A56" s="9" t="s">
        <v>175</v>
      </c>
      <c r="C56" s="38">
        <f t="shared" si="6"/>
        <v>1385</v>
      </c>
      <c r="D56" s="11">
        <v>9</v>
      </c>
      <c r="E56" s="11">
        <v>2</v>
      </c>
      <c r="F56" s="11">
        <v>15</v>
      </c>
      <c r="G56" s="22"/>
      <c r="H56" s="19">
        <v>2</v>
      </c>
      <c r="I56" s="18">
        <f t="shared" si="5"/>
        <v>1413</v>
      </c>
      <c r="M56" s="78"/>
    </row>
    <row r="57" spans="1:13" ht="15.75">
      <c r="A57" s="9" t="s">
        <v>176</v>
      </c>
      <c r="C57" s="38">
        <f t="shared" si="6"/>
        <v>1385</v>
      </c>
      <c r="D57" s="11">
        <v>9</v>
      </c>
      <c r="E57" s="11">
        <v>2</v>
      </c>
      <c r="F57" s="11">
        <v>15</v>
      </c>
      <c r="G57" s="22"/>
      <c r="H57" s="19">
        <v>2</v>
      </c>
      <c r="I57" s="18">
        <f t="shared" si="5"/>
        <v>1413</v>
      </c>
      <c r="M57" s="78"/>
    </row>
    <row r="58" spans="1:13" ht="15.75">
      <c r="A58" s="9" t="s">
        <v>177</v>
      </c>
      <c r="C58" s="38">
        <f>1349+16</f>
        <v>1365</v>
      </c>
      <c r="D58" s="11">
        <v>9</v>
      </c>
      <c r="E58" s="11">
        <v>2</v>
      </c>
      <c r="F58" s="11">
        <v>15</v>
      </c>
      <c r="G58" s="22"/>
      <c r="H58" s="19">
        <v>2</v>
      </c>
      <c r="I58" s="18">
        <f t="shared" si="5"/>
        <v>1393</v>
      </c>
      <c r="M58" s="78"/>
    </row>
    <row r="59" spans="1:13" ht="15.75">
      <c r="A59" s="9"/>
      <c r="C59" s="18"/>
      <c r="D59" s="11"/>
      <c r="E59" s="11"/>
      <c r="F59" s="11"/>
      <c r="G59" s="22"/>
      <c r="H59" s="19"/>
      <c r="I59" s="18"/>
    </row>
    <row r="60" spans="1:13" ht="15.75">
      <c r="A60" s="9"/>
      <c r="C60" s="18"/>
      <c r="D60" s="11"/>
      <c r="E60" s="11"/>
      <c r="F60" s="11"/>
      <c r="G60" s="22"/>
      <c r="H60" s="19"/>
      <c r="I60" s="18"/>
    </row>
    <row r="61" spans="1:13" ht="15.75">
      <c r="A61" s="6" t="s">
        <v>96</v>
      </c>
      <c r="C61" s="87"/>
      <c r="D61" s="87"/>
      <c r="E61" s="87"/>
      <c r="F61" s="87"/>
      <c r="G61" s="87"/>
      <c r="H61" s="87"/>
      <c r="I61" s="18"/>
    </row>
    <row r="62" spans="1:13" ht="15.75">
      <c r="A62" s="9" t="s">
        <v>179</v>
      </c>
      <c r="C62" s="18">
        <f>3080+16</f>
        <v>3096</v>
      </c>
      <c r="D62" s="11">
        <v>9</v>
      </c>
      <c r="E62" s="11">
        <v>2</v>
      </c>
      <c r="F62" s="11">
        <v>15</v>
      </c>
      <c r="G62" s="17">
        <v>0</v>
      </c>
      <c r="H62" s="19">
        <v>2</v>
      </c>
      <c r="I62" s="18">
        <f>SUM(C62:H62)</f>
        <v>3124</v>
      </c>
    </row>
    <row r="63" spans="1:13" ht="15.75">
      <c r="A63" s="9"/>
      <c r="C63" s="87"/>
      <c r="D63" s="87"/>
      <c r="E63" s="87"/>
      <c r="F63" s="87"/>
      <c r="G63" s="87"/>
      <c r="H63" s="87"/>
      <c r="I63" s="87"/>
      <c r="J63" s="87"/>
      <c r="K63" s="87"/>
    </row>
    <row r="64" spans="1:13" ht="15.75">
      <c r="A64" s="9"/>
    </row>
    <row r="66" spans="1:11" ht="15.75">
      <c r="A66" s="33"/>
    </row>
    <row r="67" spans="1:11" ht="15.75">
      <c r="A67" s="33"/>
    </row>
    <row r="68" spans="1:11" ht="15.75">
      <c r="A68" s="33"/>
    </row>
    <row r="69" spans="1:11" ht="20.25">
      <c r="A69" s="299" t="s">
        <v>180</v>
      </c>
      <c r="B69" s="299"/>
      <c r="C69" s="299"/>
      <c r="D69" s="299"/>
      <c r="E69" s="299"/>
      <c r="F69" s="299"/>
      <c r="G69" s="299"/>
      <c r="H69" s="299"/>
      <c r="I69" s="299"/>
      <c r="J69" s="68"/>
      <c r="K69" s="68"/>
    </row>
    <row r="70" spans="1:11" ht="23.25">
      <c r="A70" s="309" t="s">
        <v>52</v>
      </c>
      <c r="B70" s="309"/>
      <c r="C70" s="309"/>
      <c r="D70" s="309"/>
      <c r="E70" s="309"/>
      <c r="F70" s="309"/>
      <c r="G70" s="309"/>
      <c r="H70" s="309"/>
      <c r="I70" s="309"/>
      <c r="J70" s="150"/>
    </row>
    <row r="71" spans="1:11" ht="42.75">
      <c r="A71" s="302" t="s">
        <v>2</v>
      </c>
      <c r="B71" s="302"/>
      <c r="C71" s="2" t="s">
        <v>3</v>
      </c>
      <c r="D71" s="3" t="s">
        <v>4</v>
      </c>
      <c r="E71" s="4" t="s">
        <v>5</v>
      </c>
      <c r="F71" s="4" t="s">
        <v>6</v>
      </c>
      <c r="G71" s="4" t="s">
        <v>8</v>
      </c>
      <c r="H71" s="4" t="s">
        <v>9</v>
      </c>
      <c r="I71" s="58" t="s">
        <v>10</v>
      </c>
    </row>
    <row r="72" spans="1:11" ht="15.75">
      <c r="A72" s="91" t="s">
        <v>11</v>
      </c>
      <c r="B72" s="74"/>
      <c r="C72" s="35" t="s">
        <v>12</v>
      </c>
      <c r="D72" s="35" t="s">
        <v>12</v>
      </c>
      <c r="E72" s="35" t="s">
        <v>12</v>
      </c>
      <c r="F72" s="7" t="s">
        <v>12</v>
      </c>
      <c r="G72" s="35" t="s">
        <v>12</v>
      </c>
      <c r="H72" s="35" t="s">
        <v>12</v>
      </c>
      <c r="I72" s="35" t="s">
        <v>12</v>
      </c>
    </row>
    <row r="73" spans="1:11" ht="15.75">
      <c r="A73" s="9" t="s">
        <v>138</v>
      </c>
      <c r="C73" s="92">
        <f>(2182*1.03)+100</f>
        <v>2347.46</v>
      </c>
      <c r="D73" s="93">
        <v>80</v>
      </c>
      <c r="E73" s="87">
        <v>20</v>
      </c>
      <c r="F73" s="93">
        <v>0</v>
      </c>
      <c r="G73" s="93">
        <v>0</v>
      </c>
      <c r="H73" s="85">
        <v>13</v>
      </c>
      <c r="I73" s="94">
        <f>SUM(C73:H73)</f>
        <v>2460.46</v>
      </c>
    </row>
    <row r="74" spans="1:11" ht="15.75">
      <c r="A74" s="9"/>
      <c r="C74" s="97"/>
      <c r="D74" s="95"/>
      <c r="E74" s="87"/>
      <c r="F74" s="87"/>
      <c r="G74" s="87"/>
      <c r="H74" s="87"/>
      <c r="I74" s="95"/>
      <c r="J74" s="218"/>
      <c r="K74" s="96"/>
    </row>
    <row r="75" spans="1:11" ht="15.75">
      <c r="A75" s="9"/>
      <c r="C75" s="97"/>
      <c r="D75" s="95"/>
      <c r="E75" s="87"/>
      <c r="F75" s="87"/>
      <c r="G75" s="87"/>
      <c r="H75" s="87"/>
      <c r="I75" s="95"/>
      <c r="J75" s="218"/>
      <c r="K75" s="96"/>
    </row>
    <row r="76" spans="1:11" ht="15.75">
      <c r="A76" s="9"/>
      <c r="C76" s="98"/>
    </row>
    <row r="77" spans="1:11" ht="15.75">
      <c r="A77" s="9"/>
      <c r="C77" s="98"/>
    </row>
    <row r="78" spans="1:11" ht="15.75">
      <c r="A78" s="9"/>
      <c r="C78" s="98"/>
    </row>
    <row r="79" spans="1:11" ht="20.25">
      <c r="A79" s="299" t="s">
        <v>181</v>
      </c>
      <c r="B79" s="299"/>
      <c r="C79" s="299"/>
      <c r="D79" s="299"/>
      <c r="E79" s="299"/>
      <c r="F79" s="299"/>
      <c r="G79" s="299"/>
      <c r="H79" s="299"/>
      <c r="I79" s="299"/>
      <c r="J79" s="68"/>
      <c r="K79" s="68"/>
    </row>
    <row r="80" spans="1:11" ht="20.25">
      <c r="A80" s="299" t="s">
        <v>54</v>
      </c>
      <c r="B80" s="299"/>
      <c r="C80" s="299"/>
      <c r="D80" s="299"/>
      <c r="E80" s="299"/>
      <c r="F80" s="299"/>
      <c r="G80" s="299"/>
      <c r="H80" s="299"/>
      <c r="I80" s="299"/>
      <c r="J80" s="68"/>
      <c r="K80" s="68"/>
    </row>
    <row r="81" spans="1:10" ht="42.75">
      <c r="A81" s="302" t="s">
        <v>2</v>
      </c>
      <c r="B81" s="302"/>
      <c r="C81" s="2" t="s">
        <v>3</v>
      </c>
      <c r="D81" s="3" t="s">
        <v>4</v>
      </c>
      <c r="E81" s="4" t="s">
        <v>5</v>
      </c>
      <c r="F81" s="4" t="s">
        <v>6</v>
      </c>
      <c r="G81" s="4" t="s">
        <v>8</v>
      </c>
      <c r="H81" s="4" t="s">
        <v>9</v>
      </c>
      <c r="I81" s="58" t="s">
        <v>10</v>
      </c>
    </row>
    <row r="82" spans="1:10" ht="15.75">
      <c r="A82" s="91" t="s">
        <v>11</v>
      </c>
      <c r="B82" s="74"/>
      <c r="C82" s="35" t="s">
        <v>12</v>
      </c>
      <c r="D82" s="35" t="s">
        <v>12</v>
      </c>
      <c r="E82" s="35" t="s">
        <v>12</v>
      </c>
      <c r="F82" s="7" t="s">
        <v>12</v>
      </c>
      <c r="G82" s="35" t="s">
        <v>12</v>
      </c>
      <c r="H82" s="35" t="s">
        <v>12</v>
      </c>
      <c r="I82" s="35" t="s">
        <v>12</v>
      </c>
    </row>
    <row r="83" spans="1:10" ht="15.75">
      <c r="A83" s="9" t="s">
        <v>182</v>
      </c>
      <c r="C83" s="92">
        <f>(1558*1.03)+100</f>
        <v>1704.74</v>
      </c>
      <c r="D83" s="92">
        <v>80</v>
      </c>
      <c r="E83" s="92">
        <v>20</v>
      </c>
      <c r="F83" s="219">
        <v>0</v>
      </c>
      <c r="G83" s="220">
        <v>0</v>
      </c>
      <c r="H83" s="99">
        <v>13</v>
      </c>
      <c r="I83" s="92">
        <f>SUM(C83:H83)</f>
        <v>1817.74</v>
      </c>
    </row>
    <row r="88" spans="1:10" ht="20.25">
      <c r="A88" s="299" t="s">
        <v>37</v>
      </c>
      <c r="B88" s="299"/>
      <c r="C88" s="299"/>
      <c r="D88" s="299"/>
      <c r="E88" s="299"/>
      <c r="F88" s="299"/>
      <c r="G88" s="299"/>
      <c r="H88" s="299"/>
      <c r="I88" s="68"/>
      <c r="J88" s="144"/>
    </row>
    <row r="89" spans="1:10" ht="18.75">
      <c r="A89" s="303" t="s">
        <v>55</v>
      </c>
      <c r="B89" s="303"/>
      <c r="C89" s="303"/>
      <c r="D89" s="303"/>
      <c r="E89" s="303"/>
      <c r="F89" s="303"/>
      <c r="G89" s="303"/>
      <c r="H89" s="303"/>
      <c r="I89" s="155"/>
      <c r="J89" s="145"/>
    </row>
    <row r="90" spans="1:10" ht="42.75">
      <c r="A90" s="145"/>
      <c r="B90" s="145"/>
      <c r="C90" s="2" t="s">
        <v>3</v>
      </c>
      <c r="D90" s="3" t="s">
        <v>4</v>
      </c>
      <c r="E90" s="4" t="s">
        <v>5</v>
      </c>
      <c r="F90" s="4" t="s">
        <v>6</v>
      </c>
      <c r="G90" s="4" t="s">
        <v>9</v>
      </c>
      <c r="H90" s="58" t="s">
        <v>10</v>
      </c>
    </row>
    <row r="91" spans="1:10" ht="15.75">
      <c r="A91" s="91" t="s">
        <v>11</v>
      </c>
      <c r="B91" s="74"/>
      <c r="C91" s="35" t="s">
        <v>39</v>
      </c>
      <c r="D91" s="35" t="s">
        <v>39</v>
      </c>
      <c r="E91" s="35" t="s">
        <v>39</v>
      </c>
      <c r="F91" s="35" t="s">
        <v>39</v>
      </c>
      <c r="G91" s="35" t="s">
        <v>39</v>
      </c>
      <c r="H91" s="35" t="s">
        <v>39</v>
      </c>
    </row>
    <row r="92" spans="1:10" ht="15.75">
      <c r="A92" s="310" t="s">
        <v>138</v>
      </c>
      <c r="B92" s="310"/>
      <c r="C92" s="97">
        <f>439+16</f>
        <v>455</v>
      </c>
      <c r="D92" s="97">
        <v>9</v>
      </c>
      <c r="E92" s="97">
        <v>2</v>
      </c>
      <c r="F92" s="98">
        <v>0</v>
      </c>
      <c r="G92" s="97">
        <v>2</v>
      </c>
      <c r="H92" s="97">
        <f>SUM(C92:G92)</f>
        <v>468</v>
      </c>
    </row>
  </sheetData>
  <mergeCells count="15">
    <mergeCell ref="A92:B92"/>
    <mergeCell ref="A70:I70"/>
    <mergeCell ref="A71:B71"/>
    <mergeCell ref="A81:B81"/>
    <mergeCell ref="A69:I69"/>
    <mergeCell ref="A79:I79"/>
    <mergeCell ref="A80:I80"/>
    <mergeCell ref="A89:H89"/>
    <mergeCell ref="A88:H88"/>
    <mergeCell ref="A37:B37"/>
    <mergeCell ref="A1:I1"/>
    <mergeCell ref="A2:I2"/>
    <mergeCell ref="A35:I35"/>
    <mergeCell ref="A36:I36"/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0EE9-5ACF-4A3E-989A-436501896AD0}">
  <dimension ref="A1:M94"/>
  <sheetViews>
    <sheetView workbookViewId="0">
      <selection sqref="A1:I1"/>
    </sheetView>
  </sheetViews>
  <sheetFormatPr defaultColWidth="9.140625" defaultRowHeight="15"/>
  <cols>
    <col min="1" max="1" width="9.140625" style="221"/>
    <col min="2" max="2" width="36.28515625" style="221" customWidth="1"/>
    <col min="3" max="3" width="13.7109375" style="221" customWidth="1"/>
    <col min="4" max="4" width="9.140625" style="221"/>
    <col min="5" max="5" width="10.42578125" style="221" customWidth="1"/>
    <col min="6" max="6" width="11.140625" style="221" customWidth="1"/>
    <col min="7" max="7" width="15.85546875" style="221" customWidth="1"/>
    <col min="8" max="8" width="12.5703125" style="221" customWidth="1"/>
    <col min="9" max="9" width="11.85546875" style="221" customWidth="1"/>
    <col min="10" max="10" width="11.5703125" style="221" customWidth="1"/>
    <col min="11" max="11" width="12.28515625" style="221" customWidth="1"/>
    <col min="12" max="13" width="9.140625" style="221"/>
    <col min="14" max="14" width="11.7109375" style="221" customWidth="1"/>
    <col min="15" max="15" width="9.5703125" style="221" bestFit="1" customWidth="1"/>
    <col min="16" max="17" width="9.140625" style="221"/>
    <col min="18" max="18" width="10" style="221" bestFit="1" customWidth="1"/>
    <col min="19" max="16384" width="9.140625" style="221"/>
  </cols>
  <sheetData>
    <row r="1" spans="1:12" s="1" customFormat="1" ht="20.25">
      <c r="A1" s="299" t="s">
        <v>181</v>
      </c>
      <c r="B1" s="299"/>
      <c r="C1" s="299"/>
      <c r="D1" s="299"/>
      <c r="E1" s="299"/>
      <c r="F1" s="299"/>
      <c r="G1" s="299"/>
      <c r="H1" s="299"/>
      <c r="I1" s="299"/>
      <c r="J1" s="68"/>
      <c r="K1" s="68"/>
    </row>
    <row r="2" spans="1:12" s="1" customFormat="1" ht="20.25">
      <c r="A2" s="299" t="s">
        <v>1</v>
      </c>
      <c r="B2" s="299"/>
      <c r="C2" s="299"/>
      <c r="D2" s="299"/>
      <c r="E2" s="299"/>
      <c r="F2" s="299"/>
      <c r="G2" s="299"/>
      <c r="H2" s="299"/>
      <c r="I2" s="299"/>
      <c r="J2" s="68"/>
      <c r="K2" s="68"/>
    </row>
    <row r="3" spans="1:12" s="1" customFormat="1" ht="31.5">
      <c r="A3" s="302" t="s">
        <v>2</v>
      </c>
      <c r="B3" s="302"/>
      <c r="C3" s="2" t="s">
        <v>3</v>
      </c>
      <c r="D3" s="3" t="s">
        <v>4</v>
      </c>
      <c r="E3" s="4" t="s">
        <v>5</v>
      </c>
      <c r="F3" s="4" t="s">
        <v>6</v>
      </c>
      <c r="G3" s="4" t="s">
        <v>8</v>
      </c>
      <c r="H3" s="4" t="s">
        <v>9</v>
      </c>
      <c r="I3" s="58" t="s">
        <v>10</v>
      </c>
    </row>
    <row r="4" spans="1:12" s="1" customFormat="1" ht="15.75">
      <c r="A4" s="6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</row>
    <row r="5" spans="1:12" s="1" customFormat="1" ht="15.75">
      <c r="A5" s="43" t="s">
        <v>183</v>
      </c>
      <c r="C5" s="10">
        <f>(2404*1.03)+100</f>
        <v>2576.12</v>
      </c>
      <c r="D5" s="11">
        <v>80</v>
      </c>
      <c r="E5" s="11">
        <v>20</v>
      </c>
      <c r="F5" s="11">
        <v>120</v>
      </c>
      <c r="G5" s="17">
        <v>0</v>
      </c>
      <c r="H5" s="19">
        <v>13</v>
      </c>
      <c r="I5" s="34">
        <f t="shared" ref="I5:I11" si="0">SUM(C5:H5)</f>
        <v>2809.12</v>
      </c>
      <c r="L5" s="221"/>
    </row>
    <row r="6" spans="1:12" s="1" customFormat="1" ht="15.75">
      <c r="A6" s="43" t="s">
        <v>184</v>
      </c>
      <c r="C6" s="10">
        <f>(2404*1.03)+100</f>
        <v>2576.12</v>
      </c>
      <c r="D6" s="11">
        <v>80</v>
      </c>
      <c r="E6" s="11">
        <v>20</v>
      </c>
      <c r="F6" s="11">
        <v>120</v>
      </c>
      <c r="G6" s="17">
        <v>0</v>
      </c>
      <c r="H6" s="19">
        <v>13</v>
      </c>
      <c r="I6" s="34">
        <f t="shared" si="0"/>
        <v>2809.12</v>
      </c>
      <c r="L6" s="221"/>
    </row>
    <row r="7" spans="1:12" s="1" customFormat="1" ht="15.75">
      <c r="A7" s="43" t="s">
        <v>185</v>
      </c>
      <c r="C7" s="10">
        <f t="shared" ref="C7:C10" si="1">(2404*1.03)+100</f>
        <v>2576.12</v>
      </c>
      <c r="D7" s="11">
        <v>80</v>
      </c>
      <c r="E7" s="11">
        <v>20</v>
      </c>
      <c r="F7" s="11">
        <v>120</v>
      </c>
      <c r="G7" s="17">
        <v>0</v>
      </c>
      <c r="H7" s="19">
        <v>13</v>
      </c>
      <c r="I7" s="34">
        <f t="shared" si="0"/>
        <v>2809.12</v>
      </c>
      <c r="L7" s="221"/>
    </row>
    <row r="8" spans="1:12" s="1" customFormat="1" ht="15.75">
      <c r="A8" s="43" t="s">
        <v>186</v>
      </c>
      <c r="C8" s="10">
        <f t="shared" si="1"/>
        <v>2576.12</v>
      </c>
      <c r="D8" s="11">
        <v>80</v>
      </c>
      <c r="E8" s="11">
        <v>20</v>
      </c>
      <c r="F8" s="11">
        <v>120</v>
      </c>
      <c r="G8" s="17">
        <v>0</v>
      </c>
      <c r="H8" s="19">
        <v>13</v>
      </c>
      <c r="I8" s="34">
        <f t="shared" si="0"/>
        <v>2809.12</v>
      </c>
      <c r="L8" s="221"/>
    </row>
    <row r="9" spans="1:12" s="1" customFormat="1" ht="15.75">
      <c r="A9" s="43" t="s">
        <v>187</v>
      </c>
      <c r="C9" s="10">
        <f t="shared" si="1"/>
        <v>2576.12</v>
      </c>
      <c r="D9" s="11">
        <v>80</v>
      </c>
      <c r="E9" s="11">
        <v>20</v>
      </c>
      <c r="F9" s="11">
        <v>120</v>
      </c>
      <c r="G9" s="17">
        <v>0</v>
      </c>
      <c r="H9" s="19">
        <v>13</v>
      </c>
      <c r="I9" s="34">
        <f t="shared" si="0"/>
        <v>2809.12</v>
      </c>
      <c r="L9" s="221"/>
    </row>
    <row r="10" spans="1:12" s="1" customFormat="1" ht="15.75">
      <c r="A10" s="222" t="s">
        <v>188</v>
      </c>
      <c r="C10" s="10">
        <f t="shared" si="1"/>
        <v>2576.12</v>
      </c>
      <c r="D10" s="11">
        <v>80</v>
      </c>
      <c r="E10" s="11">
        <v>20</v>
      </c>
      <c r="F10" s="11">
        <v>120</v>
      </c>
      <c r="G10" s="17">
        <v>0</v>
      </c>
      <c r="H10" s="19">
        <v>13</v>
      </c>
      <c r="I10" s="34">
        <f t="shared" si="0"/>
        <v>2809.12</v>
      </c>
      <c r="L10" s="221"/>
    </row>
    <row r="11" spans="1:12" s="223" customFormat="1" ht="15.75">
      <c r="A11" s="1" t="s">
        <v>189</v>
      </c>
      <c r="C11" s="10">
        <f>(2560*1.03)+100</f>
        <v>2736.8</v>
      </c>
      <c r="D11" s="11">
        <v>80</v>
      </c>
      <c r="E11" s="11">
        <v>20</v>
      </c>
      <c r="F11" s="11">
        <v>120</v>
      </c>
      <c r="G11" s="224">
        <v>0</v>
      </c>
      <c r="H11" s="19">
        <v>13</v>
      </c>
      <c r="I11" s="34">
        <f t="shared" si="0"/>
        <v>2969.8</v>
      </c>
    </row>
    <row r="12" spans="1:12" s="1" customFormat="1" ht="15.75">
      <c r="A12" s="221"/>
      <c r="C12" s="10"/>
      <c r="D12" s="11"/>
      <c r="E12" s="11"/>
      <c r="F12" s="11"/>
      <c r="G12" s="17"/>
      <c r="H12" s="17"/>
      <c r="I12" s="18"/>
      <c r="L12" s="221"/>
    </row>
    <row r="13" spans="1:12" s="1" customFormat="1" ht="15.75">
      <c r="A13" s="225" t="s">
        <v>21</v>
      </c>
      <c r="C13" s="10"/>
      <c r="D13" s="32"/>
      <c r="E13" s="32"/>
      <c r="F13" s="32"/>
      <c r="G13" s="32"/>
      <c r="H13" s="32"/>
      <c r="I13" s="18"/>
      <c r="L13" s="221"/>
    </row>
    <row r="14" spans="1:12" s="1" customFormat="1" ht="15.75">
      <c r="A14" s="43" t="s">
        <v>190</v>
      </c>
      <c r="C14" s="10">
        <f>(2849*1.03)+100</f>
        <v>3034.4700000000003</v>
      </c>
      <c r="D14" s="11">
        <v>80</v>
      </c>
      <c r="E14" s="11">
        <v>20</v>
      </c>
      <c r="F14" s="11">
        <v>120</v>
      </c>
      <c r="G14" s="22">
        <v>0</v>
      </c>
      <c r="H14" s="19">
        <v>13</v>
      </c>
      <c r="I14" s="34">
        <f t="shared" ref="I14:I24" si="2">SUM(C14:H14)</f>
        <v>3267.4700000000003</v>
      </c>
      <c r="L14" s="221"/>
    </row>
    <row r="15" spans="1:12" s="1" customFormat="1" ht="15.75">
      <c r="A15" s="43" t="s">
        <v>191</v>
      </c>
      <c r="C15" s="10">
        <f>(2604*1.03)+100</f>
        <v>2782.12</v>
      </c>
      <c r="D15" s="11">
        <v>80</v>
      </c>
      <c r="E15" s="11">
        <v>20</v>
      </c>
      <c r="F15" s="11">
        <v>120</v>
      </c>
      <c r="G15" s="22">
        <v>0</v>
      </c>
      <c r="H15" s="19">
        <v>13</v>
      </c>
      <c r="I15" s="34">
        <f t="shared" si="2"/>
        <v>3015.12</v>
      </c>
      <c r="L15" s="221"/>
    </row>
    <row r="16" spans="1:12" s="1" customFormat="1" ht="15.75">
      <c r="A16" s="43" t="s">
        <v>192</v>
      </c>
      <c r="C16" s="10">
        <f>(2994*1.03)+100</f>
        <v>3183.82</v>
      </c>
      <c r="D16" s="11">
        <v>80</v>
      </c>
      <c r="E16" s="11">
        <v>20</v>
      </c>
      <c r="F16" s="11">
        <v>120</v>
      </c>
      <c r="G16" s="22">
        <v>0</v>
      </c>
      <c r="H16" s="19">
        <v>13</v>
      </c>
      <c r="I16" s="34">
        <f t="shared" si="2"/>
        <v>3416.82</v>
      </c>
      <c r="L16" s="221"/>
    </row>
    <row r="17" spans="1:12" s="1" customFormat="1" ht="15.75">
      <c r="A17" s="43" t="s">
        <v>193</v>
      </c>
      <c r="C17" s="10">
        <f>(2726*1.03)+100</f>
        <v>2907.78</v>
      </c>
      <c r="D17" s="11">
        <v>80</v>
      </c>
      <c r="E17" s="11">
        <v>20</v>
      </c>
      <c r="F17" s="11">
        <v>120</v>
      </c>
      <c r="G17" s="226">
        <v>550</v>
      </c>
      <c r="H17" s="19">
        <v>13</v>
      </c>
      <c r="I17" s="34">
        <f t="shared" si="2"/>
        <v>3690.78</v>
      </c>
      <c r="L17" s="221"/>
    </row>
    <row r="18" spans="1:12" s="1" customFormat="1" ht="15.75">
      <c r="A18" s="43" t="s">
        <v>194</v>
      </c>
      <c r="C18" s="10">
        <f>(2849*1.03)+100</f>
        <v>3034.4700000000003</v>
      </c>
      <c r="D18" s="11">
        <v>80</v>
      </c>
      <c r="E18" s="11">
        <v>20</v>
      </c>
      <c r="F18" s="11">
        <v>120</v>
      </c>
      <c r="G18" s="226">
        <v>0</v>
      </c>
      <c r="H18" s="19">
        <v>13</v>
      </c>
      <c r="I18" s="34">
        <f t="shared" si="2"/>
        <v>3267.4700000000003</v>
      </c>
      <c r="L18" s="221"/>
    </row>
    <row r="19" spans="1:12" s="1" customFormat="1" ht="15.75">
      <c r="A19" s="43" t="s">
        <v>195</v>
      </c>
      <c r="C19" s="10">
        <f>(2716*1.03)+100</f>
        <v>2897.48</v>
      </c>
      <c r="D19" s="11">
        <v>80</v>
      </c>
      <c r="E19" s="11">
        <v>20</v>
      </c>
      <c r="F19" s="11">
        <v>120</v>
      </c>
      <c r="G19" s="226">
        <v>0</v>
      </c>
      <c r="H19" s="19">
        <v>13</v>
      </c>
      <c r="I19" s="34">
        <f t="shared" si="2"/>
        <v>3130.48</v>
      </c>
      <c r="L19" s="221"/>
    </row>
    <row r="20" spans="1:12" s="1" customFormat="1" ht="15.75">
      <c r="A20" s="43" t="s">
        <v>196</v>
      </c>
      <c r="C20" s="10">
        <f>(2716*1.03)+100</f>
        <v>2897.48</v>
      </c>
      <c r="D20" s="11">
        <v>80</v>
      </c>
      <c r="E20" s="11">
        <v>20</v>
      </c>
      <c r="F20" s="11">
        <v>120</v>
      </c>
      <c r="G20" s="226">
        <v>0</v>
      </c>
      <c r="H20" s="19">
        <v>13</v>
      </c>
      <c r="I20" s="34">
        <f t="shared" si="2"/>
        <v>3130.48</v>
      </c>
      <c r="L20" s="221"/>
    </row>
    <row r="21" spans="1:12" s="1" customFormat="1" ht="15.75">
      <c r="A21" s="43" t="s">
        <v>197</v>
      </c>
      <c r="C21" s="10">
        <f>(2716*1.03)+100</f>
        <v>2897.48</v>
      </c>
      <c r="D21" s="11">
        <v>80</v>
      </c>
      <c r="E21" s="11">
        <v>20</v>
      </c>
      <c r="F21" s="11">
        <v>120</v>
      </c>
      <c r="G21" s="226">
        <v>0</v>
      </c>
      <c r="H21" s="19">
        <v>13</v>
      </c>
      <c r="I21" s="34">
        <f t="shared" si="2"/>
        <v>3130.48</v>
      </c>
      <c r="L21" s="221"/>
    </row>
    <row r="22" spans="1:12" s="1" customFormat="1" ht="15.75">
      <c r="A22" s="43" t="s">
        <v>198</v>
      </c>
      <c r="C22" s="10">
        <f>(2209*1.03)+100</f>
        <v>2375.27</v>
      </c>
      <c r="D22" s="11">
        <v>80</v>
      </c>
      <c r="E22" s="11">
        <v>20</v>
      </c>
      <c r="F22" s="11">
        <v>120</v>
      </c>
      <c r="G22" s="17">
        <v>0</v>
      </c>
      <c r="H22" s="19">
        <v>13</v>
      </c>
      <c r="I22" s="34">
        <f t="shared" si="2"/>
        <v>2608.27</v>
      </c>
      <c r="L22" s="221"/>
    </row>
    <row r="23" spans="1:12" s="1" customFormat="1" ht="15.75">
      <c r="A23" s="43" t="s">
        <v>199</v>
      </c>
      <c r="C23" s="10">
        <f>(2209*1.03)+100</f>
        <v>2375.27</v>
      </c>
      <c r="D23" s="11">
        <v>80</v>
      </c>
      <c r="E23" s="11">
        <v>20</v>
      </c>
      <c r="F23" s="11">
        <v>120</v>
      </c>
      <c r="G23" s="17">
        <v>0</v>
      </c>
      <c r="H23" s="19">
        <v>13</v>
      </c>
      <c r="I23" s="34">
        <f t="shared" si="2"/>
        <v>2608.27</v>
      </c>
      <c r="L23" s="221"/>
    </row>
    <row r="24" spans="1:12" s="1" customFormat="1" ht="15.75">
      <c r="A24" s="43" t="s">
        <v>200</v>
      </c>
      <c r="C24" s="10">
        <f>(2098*1.03)+100</f>
        <v>2260.94</v>
      </c>
      <c r="D24" s="11">
        <v>80</v>
      </c>
      <c r="E24" s="11">
        <v>20</v>
      </c>
      <c r="F24" s="11">
        <v>120</v>
      </c>
      <c r="G24" s="17">
        <v>0</v>
      </c>
      <c r="H24" s="19">
        <v>13</v>
      </c>
      <c r="I24" s="34">
        <f t="shared" si="2"/>
        <v>2493.94</v>
      </c>
      <c r="L24" s="221"/>
    </row>
    <row r="25" spans="1:12" ht="15.75">
      <c r="A25" s="227"/>
      <c r="C25" s="228"/>
      <c r="D25" s="229"/>
      <c r="E25" s="229"/>
      <c r="F25" s="229"/>
      <c r="G25" s="230"/>
      <c r="H25" s="230"/>
      <c r="I25" s="231"/>
    </row>
    <row r="26" spans="1:12" s="1" customFormat="1" ht="15.75">
      <c r="A26" s="43"/>
      <c r="C26" s="10"/>
      <c r="D26" s="11"/>
      <c r="E26" s="11"/>
      <c r="F26" s="11"/>
      <c r="G26" s="22"/>
      <c r="H26" s="22"/>
      <c r="I26" s="18"/>
      <c r="L26" s="221"/>
    </row>
    <row r="27" spans="1:12" s="1" customFormat="1" ht="15.75">
      <c r="A27" s="225" t="s">
        <v>96</v>
      </c>
      <c r="C27" s="10"/>
      <c r="D27" s="32"/>
      <c r="E27" s="32"/>
      <c r="F27" s="32"/>
      <c r="G27" s="32"/>
      <c r="H27" s="32"/>
      <c r="I27" s="18"/>
      <c r="L27" s="221"/>
    </row>
    <row r="28" spans="1:12" s="1" customFormat="1" ht="15.75">
      <c r="A28" s="43" t="s">
        <v>201</v>
      </c>
      <c r="C28" s="10">
        <f>(5633*1.06)+100</f>
        <v>6070.9800000000005</v>
      </c>
      <c r="D28" s="11">
        <v>80</v>
      </c>
      <c r="E28" s="11">
        <v>20</v>
      </c>
      <c r="F28" s="11">
        <v>120</v>
      </c>
      <c r="G28" s="17">
        <v>0</v>
      </c>
      <c r="H28" s="14">
        <v>13</v>
      </c>
      <c r="I28" s="34">
        <f>SUM(C28:H28)</f>
        <v>6303.9800000000005</v>
      </c>
      <c r="K28" s="16"/>
      <c r="L28" s="221"/>
    </row>
    <row r="29" spans="1:12" s="1" customFormat="1" ht="15.75">
      <c r="A29" s="43"/>
      <c r="C29" s="32"/>
      <c r="D29" s="20"/>
      <c r="E29" s="20"/>
      <c r="F29" s="20"/>
      <c r="G29" s="20"/>
      <c r="H29" s="20"/>
      <c r="I29" s="20"/>
      <c r="J29" s="20"/>
      <c r="K29" s="20"/>
    </row>
    <row r="30" spans="1:12" s="1" customFormat="1" ht="15.75">
      <c r="A30" s="43"/>
      <c r="C30" s="32"/>
      <c r="D30" s="20"/>
      <c r="E30" s="20"/>
      <c r="F30" s="20"/>
      <c r="G30" s="20"/>
      <c r="H30" s="20"/>
      <c r="I30" s="20"/>
      <c r="J30" s="20"/>
      <c r="K30" s="20"/>
    </row>
    <row r="31" spans="1:12" ht="15.75">
      <c r="C31" s="232"/>
    </row>
    <row r="32" spans="1:12" ht="15.75">
      <c r="C32" s="232"/>
    </row>
    <row r="33" spans="1:11" ht="15.75">
      <c r="C33" s="232"/>
    </row>
    <row r="34" spans="1:11" ht="15.75">
      <c r="C34" s="232"/>
    </row>
    <row r="35" spans="1:11" ht="20.25">
      <c r="A35" s="299" t="s">
        <v>0</v>
      </c>
      <c r="B35" s="299"/>
      <c r="C35" s="299"/>
      <c r="D35" s="299"/>
      <c r="E35" s="299"/>
      <c r="F35" s="299"/>
      <c r="G35" s="299"/>
      <c r="H35" s="299"/>
      <c r="I35" s="299"/>
      <c r="J35" s="225"/>
      <c r="K35" s="225"/>
    </row>
    <row r="36" spans="1:11">
      <c r="A36" s="314" t="s">
        <v>38</v>
      </c>
      <c r="B36" s="314"/>
      <c r="C36" s="314"/>
      <c r="D36" s="314"/>
      <c r="E36" s="314"/>
      <c r="F36" s="314"/>
      <c r="G36" s="314"/>
      <c r="H36" s="314"/>
      <c r="I36" s="314"/>
      <c r="J36" s="225"/>
      <c r="K36" s="225"/>
    </row>
    <row r="37" spans="1:11" ht="28.5">
      <c r="A37" s="313" t="s">
        <v>2</v>
      </c>
      <c r="B37" s="313"/>
      <c r="C37" s="4" t="s">
        <v>3</v>
      </c>
      <c r="D37" s="206" t="s">
        <v>4</v>
      </c>
      <c r="E37" s="4" t="s">
        <v>5</v>
      </c>
      <c r="F37" s="4" t="s">
        <v>6</v>
      </c>
      <c r="G37" s="4" t="s">
        <v>8</v>
      </c>
      <c r="H37" s="4" t="s">
        <v>9</v>
      </c>
      <c r="I37" s="233" t="s">
        <v>10</v>
      </c>
    </row>
    <row r="38" spans="1:11">
      <c r="A38" s="225" t="s">
        <v>11</v>
      </c>
      <c r="B38" s="1"/>
      <c r="C38" s="234" t="s">
        <v>39</v>
      </c>
      <c r="D38" s="234" t="s">
        <v>39</v>
      </c>
      <c r="E38" s="234" t="s">
        <v>39</v>
      </c>
      <c r="F38" s="234" t="s">
        <v>39</v>
      </c>
      <c r="G38" s="234" t="s">
        <v>39</v>
      </c>
      <c r="H38" s="234" t="s">
        <v>39</v>
      </c>
      <c r="I38" s="234" t="s">
        <v>39</v>
      </c>
    </row>
    <row r="39" spans="1:11" ht="15.75">
      <c r="A39" s="43" t="s">
        <v>202</v>
      </c>
      <c r="B39" s="1"/>
      <c r="C39" s="18">
        <f>1524+16</f>
        <v>1540</v>
      </c>
      <c r="D39" s="11">
        <v>9</v>
      </c>
      <c r="E39" s="11">
        <v>2</v>
      </c>
      <c r="F39" s="11">
        <v>15</v>
      </c>
      <c r="G39" s="17">
        <v>0</v>
      </c>
      <c r="H39" s="19">
        <v>2</v>
      </c>
      <c r="I39" s="18">
        <f t="shared" ref="I39:I44" si="3">SUM(C39:H39)</f>
        <v>1568</v>
      </c>
    </row>
    <row r="40" spans="1:11" ht="15.75">
      <c r="A40" s="43" t="s">
        <v>203</v>
      </c>
      <c r="B40" s="1"/>
      <c r="C40" s="18">
        <f t="shared" ref="C40:C44" si="4">1524+16</f>
        <v>1540</v>
      </c>
      <c r="D40" s="11">
        <v>9</v>
      </c>
      <c r="E40" s="11">
        <v>2</v>
      </c>
      <c r="F40" s="11">
        <v>15</v>
      </c>
      <c r="G40" s="17">
        <v>0</v>
      </c>
      <c r="H40" s="19">
        <v>2</v>
      </c>
      <c r="I40" s="18">
        <f t="shared" si="3"/>
        <v>1568</v>
      </c>
    </row>
    <row r="41" spans="1:11" ht="15.75">
      <c r="A41" s="43" t="s">
        <v>204</v>
      </c>
      <c r="B41" s="1"/>
      <c r="C41" s="18">
        <f t="shared" si="4"/>
        <v>1540</v>
      </c>
      <c r="D41" s="11">
        <v>9</v>
      </c>
      <c r="E41" s="11">
        <v>2</v>
      </c>
      <c r="F41" s="11">
        <v>15</v>
      </c>
      <c r="G41" s="17">
        <v>0</v>
      </c>
      <c r="H41" s="19">
        <v>2</v>
      </c>
      <c r="I41" s="18">
        <f t="shared" si="3"/>
        <v>1568</v>
      </c>
    </row>
    <row r="42" spans="1:11" ht="15.75">
      <c r="A42" s="43" t="s">
        <v>205</v>
      </c>
      <c r="B42" s="1"/>
      <c r="C42" s="18">
        <f t="shared" si="4"/>
        <v>1540</v>
      </c>
      <c r="D42" s="11">
        <v>9</v>
      </c>
      <c r="E42" s="11">
        <v>2</v>
      </c>
      <c r="F42" s="11">
        <v>15</v>
      </c>
      <c r="G42" s="17">
        <v>0</v>
      </c>
      <c r="H42" s="19">
        <v>2</v>
      </c>
      <c r="I42" s="18">
        <f t="shared" si="3"/>
        <v>1568</v>
      </c>
    </row>
    <row r="43" spans="1:11" ht="15.75">
      <c r="A43" s="43" t="s">
        <v>206</v>
      </c>
      <c r="B43" s="1"/>
      <c r="C43" s="18">
        <f t="shared" si="4"/>
        <v>1540</v>
      </c>
      <c r="D43" s="11">
        <v>9</v>
      </c>
      <c r="E43" s="11">
        <v>2</v>
      </c>
      <c r="F43" s="11">
        <v>15</v>
      </c>
      <c r="G43" s="17">
        <v>0</v>
      </c>
      <c r="H43" s="19">
        <v>2</v>
      </c>
      <c r="I43" s="18">
        <f t="shared" si="3"/>
        <v>1568</v>
      </c>
    </row>
    <row r="44" spans="1:11" s="235" customFormat="1" ht="15.75">
      <c r="A44" s="222" t="s">
        <v>207</v>
      </c>
      <c r="B44" s="223"/>
      <c r="C44" s="18">
        <f t="shared" si="4"/>
        <v>1540</v>
      </c>
      <c r="D44" s="11">
        <v>9</v>
      </c>
      <c r="E44" s="11">
        <v>2</v>
      </c>
      <c r="F44" s="11">
        <v>15</v>
      </c>
      <c r="G44" s="217">
        <v>0</v>
      </c>
      <c r="H44" s="19">
        <v>2</v>
      </c>
      <c r="I44" s="18">
        <f t="shared" si="3"/>
        <v>1568</v>
      </c>
    </row>
    <row r="45" spans="1:11" ht="15.75">
      <c r="A45" s="9"/>
      <c r="B45" s="1"/>
      <c r="C45" s="18"/>
      <c r="D45" s="11"/>
      <c r="E45" s="11"/>
      <c r="F45" s="11"/>
      <c r="G45" s="22"/>
      <c r="H45" s="22"/>
      <c r="I45" s="18"/>
    </row>
    <row r="46" spans="1:11" ht="15.75">
      <c r="A46" s="9"/>
      <c r="B46" s="1"/>
      <c r="C46" s="18"/>
      <c r="D46" s="11"/>
      <c r="E46" s="11"/>
      <c r="F46" s="11"/>
      <c r="G46" s="22"/>
      <c r="H46" s="22"/>
      <c r="I46" s="18"/>
    </row>
    <row r="47" spans="1:11" ht="15.75">
      <c r="A47" s="6" t="s">
        <v>21</v>
      </c>
      <c r="B47" s="1"/>
      <c r="C47" s="20"/>
      <c r="D47" s="20"/>
      <c r="E47" s="20"/>
      <c r="F47" s="20"/>
      <c r="G47" s="20"/>
      <c r="H47" s="20"/>
      <c r="I47" s="18"/>
    </row>
    <row r="48" spans="1:11" ht="15.75">
      <c r="A48" s="9" t="s">
        <v>208</v>
      </c>
      <c r="B48" s="1"/>
      <c r="C48" s="38">
        <f>1469+16</f>
        <v>1485</v>
      </c>
      <c r="D48" s="11">
        <v>9</v>
      </c>
      <c r="E48" s="11">
        <v>2</v>
      </c>
      <c r="F48" s="11">
        <v>15</v>
      </c>
      <c r="G48" s="22">
        <v>0</v>
      </c>
      <c r="H48" s="22">
        <v>2</v>
      </c>
      <c r="I48" s="18">
        <f t="shared" ref="I48:I58" si="5">SUM(C48:H48)</f>
        <v>1513</v>
      </c>
    </row>
    <row r="49" spans="1:11" ht="15.75">
      <c r="A49" s="9" t="s">
        <v>209</v>
      </c>
      <c r="B49" s="1"/>
      <c r="C49" s="38">
        <f>1349+16</f>
        <v>1365</v>
      </c>
      <c r="D49" s="11">
        <v>9</v>
      </c>
      <c r="E49" s="11">
        <v>2</v>
      </c>
      <c r="F49" s="11">
        <v>15</v>
      </c>
      <c r="G49" s="22"/>
      <c r="H49" s="22">
        <v>2</v>
      </c>
      <c r="I49" s="18">
        <f t="shared" si="5"/>
        <v>1393</v>
      </c>
    </row>
    <row r="50" spans="1:11" ht="15.75">
      <c r="A50" s="9" t="s">
        <v>210</v>
      </c>
      <c r="B50" s="1"/>
      <c r="C50" s="38">
        <f>1349+16</f>
        <v>1365</v>
      </c>
      <c r="D50" s="11">
        <v>9</v>
      </c>
      <c r="E50" s="11">
        <v>2</v>
      </c>
      <c r="F50" s="11">
        <v>15</v>
      </c>
      <c r="G50" s="22"/>
      <c r="H50" s="22">
        <v>2</v>
      </c>
      <c r="I50" s="18">
        <f t="shared" si="5"/>
        <v>1393</v>
      </c>
    </row>
    <row r="51" spans="1:11" ht="15.75">
      <c r="A51" s="9" t="s">
        <v>211</v>
      </c>
      <c r="B51" s="1"/>
      <c r="C51" s="38">
        <f>1382+16</f>
        <v>1398</v>
      </c>
      <c r="D51" s="11">
        <v>9</v>
      </c>
      <c r="E51" s="11">
        <v>2</v>
      </c>
      <c r="F51" s="11">
        <v>15</v>
      </c>
      <c r="G51" s="22">
        <v>87</v>
      </c>
      <c r="H51" s="22">
        <v>2</v>
      </c>
      <c r="I51" s="18">
        <f t="shared" si="5"/>
        <v>1513</v>
      </c>
    </row>
    <row r="52" spans="1:11" ht="15.75">
      <c r="A52" s="9" t="s">
        <v>212</v>
      </c>
      <c r="B52" s="1"/>
      <c r="C52" s="38">
        <f>1469+16</f>
        <v>1485</v>
      </c>
      <c r="D52" s="11">
        <v>9</v>
      </c>
      <c r="E52" s="11">
        <v>2</v>
      </c>
      <c r="F52" s="11">
        <v>15</v>
      </c>
      <c r="G52" s="22">
        <v>0</v>
      </c>
      <c r="H52" s="22">
        <v>2</v>
      </c>
      <c r="I52" s="18">
        <f t="shared" si="5"/>
        <v>1513</v>
      </c>
    </row>
    <row r="53" spans="1:11" ht="15.75">
      <c r="A53" s="9" t="s">
        <v>213</v>
      </c>
      <c r="B53" s="1"/>
      <c r="C53" s="38">
        <f>1369+16</f>
        <v>1385</v>
      </c>
      <c r="D53" s="11">
        <v>9</v>
      </c>
      <c r="E53" s="11">
        <v>2</v>
      </c>
      <c r="F53" s="11">
        <v>15</v>
      </c>
      <c r="G53" s="22"/>
      <c r="H53" s="22">
        <v>2</v>
      </c>
      <c r="I53" s="18">
        <f t="shared" si="5"/>
        <v>1413</v>
      </c>
    </row>
    <row r="54" spans="1:11" ht="15.75">
      <c r="A54" s="9" t="s">
        <v>214</v>
      </c>
      <c r="B54" s="1"/>
      <c r="C54" s="38">
        <f>1369+16</f>
        <v>1385</v>
      </c>
      <c r="D54" s="11">
        <v>9</v>
      </c>
      <c r="E54" s="11">
        <v>2</v>
      </c>
      <c r="F54" s="11">
        <v>15</v>
      </c>
      <c r="G54" s="22"/>
      <c r="H54" s="22">
        <v>2</v>
      </c>
      <c r="I54" s="18">
        <f t="shared" si="5"/>
        <v>1413</v>
      </c>
    </row>
    <row r="55" spans="1:11" ht="15.75">
      <c r="A55" s="9" t="s">
        <v>215</v>
      </c>
      <c r="B55" s="1"/>
      <c r="C55" s="38">
        <f>1369+16</f>
        <v>1385</v>
      </c>
      <c r="D55" s="11">
        <v>9</v>
      </c>
      <c r="E55" s="11">
        <v>2</v>
      </c>
      <c r="F55" s="11">
        <v>15</v>
      </c>
      <c r="G55" s="22"/>
      <c r="H55" s="22">
        <v>2</v>
      </c>
      <c r="I55" s="18">
        <f t="shared" si="5"/>
        <v>1413</v>
      </c>
    </row>
    <row r="56" spans="1:11" ht="15.75">
      <c r="A56" s="9" t="s">
        <v>216</v>
      </c>
      <c r="B56" s="1"/>
      <c r="C56" s="38">
        <f>1369+16</f>
        <v>1385</v>
      </c>
      <c r="D56" s="11">
        <v>9</v>
      </c>
      <c r="E56" s="11">
        <v>2</v>
      </c>
      <c r="F56" s="11">
        <v>15</v>
      </c>
      <c r="G56" s="22"/>
      <c r="H56" s="22">
        <v>2</v>
      </c>
      <c r="I56" s="18">
        <f t="shared" si="5"/>
        <v>1413</v>
      </c>
    </row>
    <row r="57" spans="1:11" ht="15.75">
      <c r="A57" s="9" t="s">
        <v>217</v>
      </c>
      <c r="B57" s="1"/>
      <c r="C57" s="38">
        <f>1369+16</f>
        <v>1385</v>
      </c>
      <c r="D57" s="11">
        <v>9</v>
      </c>
      <c r="E57" s="11">
        <v>2</v>
      </c>
      <c r="F57" s="11">
        <v>15</v>
      </c>
      <c r="G57" s="22"/>
      <c r="H57" s="22">
        <v>2</v>
      </c>
      <c r="I57" s="18">
        <f t="shared" si="5"/>
        <v>1413</v>
      </c>
    </row>
    <row r="58" spans="1:11" ht="15.75">
      <c r="A58" s="9" t="s">
        <v>218</v>
      </c>
      <c r="B58" s="1"/>
      <c r="C58" s="38">
        <f>1349+16</f>
        <v>1365</v>
      </c>
      <c r="D58" s="11">
        <v>9</v>
      </c>
      <c r="E58" s="11">
        <v>2</v>
      </c>
      <c r="F58" s="11">
        <v>15</v>
      </c>
      <c r="G58" s="22"/>
      <c r="H58" s="22">
        <v>2</v>
      </c>
      <c r="I58" s="18">
        <f t="shared" si="5"/>
        <v>1393</v>
      </c>
    </row>
    <row r="59" spans="1:11" ht="15.75">
      <c r="A59" s="9"/>
      <c r="B59" s="1"/>
      <c r="C59" s="18"/>
      <c r="D59" s="11"/>
      <c r="E59" s="11"/>
      <c r="F59" s="11"/>
      <c r="G59" s="22"/>
      <c r="H59" s="22"/>
      <c r="I59" s="18"/>
    </row>
    <row r="60" spans="1:11" ht="15.75">
      <c r="A60" s="9"/>
      <c r="B60" s="1"/>
      <c r="C60" s="18"/>
      <c r="D60" s="11"/>
      <c r="E60" s="11"/>
      <c r="F60" s="11"/>
      <c r="G60" s="22"/>
      <c r="H60" s="22"/>
      <c r="I60" s="18"/>
    </row>
    <row r="61" spans="1:11" s="1" customFormat="1" ht="15.75">
      <c r="A61" s="6" t="s">
        <v>96</v>
      </c>
      <c r="C61" s="20"/>
      <c r="D61" s="20"/>
      <c r="E61" s="20"/>
      <c r="F61" s="20"/>
      <c r="G61" s="20"/>
      <c r="H61" s="20"/>
      <c r="I61" s="18"/>
    </row>
    <row r="62" spans="1:11" s="1" customFormat="1" ht="15.75">
      <c r="A62" s="9" t="s">
        <v>219</v>
      </c>
      <c r="C62" s="18">
        <f>3080+16</f>
        <v>3096</v>
      </c>
      <c r="D62" s="11">
        <v>9</v>
      </c>
      <c r="E62" s="11">
        <v>2</v>
      </c>
      <c r="F62" s="11">
        <v>15</v>
      </c>
      <c r="G62" s="17">
        <v>0</v>
      </c>
      <c r="H62" s="14">
        <v>2</v>
      </c>
      <c r="I62" s="18">
        <f>SUM(C62:H62)</f>
        <v>3124</v>
      </c>
    </row>
    <row r="63" spans="1:11" ht="15.75">
      <c r="A63" s="236"/>
      <c r="C63" s="237"/>
      <c r="D63" s="237"/>
      <c r="E63" s="237"/>
      <c r="F63" s="237"/>
      <c r="G63" s="237"/>
      <c r="H63" s="237"/>
      <c r="I63" s="237"/>
      <c r="J63" s="237"/>
      <c r="K63" s="237"/>
    </row>
    <row r="64" spans="1:11" ht="15.75">
      <c r="A64" s="236"/>
    </row>
    <row r="66" spans="1:13" ht="15.75">
      <c r="A66" s="238"/>
    </row>
    <row r="67" spans="1:13" ht="15.75">
      <c r="A67" s="238"/>
    </row>
    <row r="68" spans="1:13" ht="15.75">
      <c r="A68" s="238"/>
    </row>
    <row r="69" spans="1:13" s="1" customFormat="1" ht="15.75">
      <c r="A69" s="33"/>
    </row>
    <row r="70" spans="1:13" s="1" customFormat="1" ht="20.25">
      <c r="A70" s="299" t="s">
        <v>181</v>
      </c>
      <c r="B70" s="299"/>
      <c r="C70" s="299"/>
      <c r="D70" s="299"/>
      <c r="E70" s="299"/>
      <c r="F70" s="299"/>
      <c r="G70" s="299"/>
      <c r="H70" s="299"/>
      <c r="I70" s="299"/>
      <c r="J70" s="68"/>
      <c r="K70" s="68"/>
    </row>
    <row r="71" spans="1:13" s="1" customFormat="1" ht="22.5">
      <c r="A71" s="300" t="s">
        <v>52</v>
      </c>
      <c r="B71" s="300"/>
      <c r="C71" s="300"/>
      <c r="D71" s="300"/>
      <c r="E71" s="300"/>
      <c r="F71" s="300"/>
      <c r="G71" s="300"/>
      <c r="H71" s="300"/>
      <c r="I71" s="300"/>
      <c r="J71" s="146"/>
    </row>
    <row r="72" spans="1:13" s="1" customFormat="1" ht="31.5">
      <c r="A72" s="302" t="s">
        <v>2</v>
      </c>
      <c r="B72" s="302"/>
      <c r="C72" s="2" t="s">
        <v>3</v>
      </c>
      <c r="D72" s="3" t="s">
        <v>4</v>
      </c>
      <c r="E72" s="4" t="s">
        <v>5</v>
      </c>
      <c r="F72" s="4" t="s">
        <v>6</v>
      </c>
      <c r="G72" s="4" t="s">
        <v>8</v>
      </c>
      <c r="H72" s="4" t="s">
        <v>9</v>
      </c>
      <c r="I72" s="58" t="s">
        <v>10</v>
      </c>
    </row>
    <row r="73" spans="1:13" s="1" customFormat="1" ht="15.75">
      <c r="A73" s="45" t="s">
        <v>11</v>
      </c>
      <c r="B73" s="46"/>
      <c r="C73" s="35" t="s">
        <v>12</v>
      </c>
      <c r="D73" s="35" t="s">
        <v>12</v>
      </c>
      <c r="E73" s="35" t="s">
        <v>12</v>
      </c>
      <c r="F73" s="7" t="s">
        <v>12</v>
      </c>
      <c r="G73" s="35" t="s">
        <v>12</v>
      </c>
      <c r="H73" s="35" t="s">
        <v>12</v>
      </c>
      <c r="I73" s="35" t="s">
        <v>12</v>
      </c>
    </row>
    <row r="74" spans="1:13" s="1" customFormat="1" ht="15.75">
      <c r="A74" s="9" t="s">
        <v>149</v>
      </c>
      <c r="B74" s="46"/>
      <c r="C74" s="47">
        <f>(2182*1.03)+100</f>
        <v>2347.46</v>
      </c>
      <c r="D74" s="21">
        <v>80</v>
      </c>
      <c r="E74" s="20">
        <v>20</v>
      </c>
      <c r="F74" s="21">
        <v>0</v>
      </c>
      <c r="G74" s="21">
        <v>0</v>
      </c>
      <c r="H74" s="239">
        <v>13</v>
      </c>
      <c r="I74" s="240">
        <f>SUM(C74:H74)</f>
        <v>2460.46</v>
      </c>
      <c r="L74" s="221"/>
      <c r="M74" s="12"/>
    </row>
    <row r="75" spans="1:13" s="1" customFormat="1" ht="15.75">
      <c r="A75" s="9"/>
      <c r="C75" s="51"/>
      <c r="D75" s="49"/>
      <c r="E75" s="20"/>
      <c r="F75" s="20"/>
      <c r="G75" s="20"/>
      <c r="H75" s="20"/>
      <c r="I75" s="49"/>
      <c r="J75" s="49"/>
      <c r="K75" s="50"/>
    </row>
    <row r="76" spans="1:13" s="1" customFormat="1" ht="15.75">
      <c r="A76" s="9"/>
      <c r="C76" s="51"/>
      <c r="D76" s="49"/>
      <c r="E76" s="20"/>
      <c r="F76" s="20"/>
      <c r="G76" s="20"/>
      <c r="H76" s="20"/>
      <c r="I76" s="49"/>
      <c r="J76" s="49"/>
      <c r="K76" s="50"/>
    </row>
    <row r="77" spans="1:13" ht="15.75">
      <c r="A77" s="236"/>
      <c r="C77" s="241"/>
    </row>
    <row r="78" spans="1:13" ht="15.75">
      <c r="A78" s="236"/>
      <c r="C78" s="241"/>
    </row>
    <row r="79" spans="1:13" ht="15.75">
      <c r="A79" s="9"/>
      <c r="B79" s="1"/>
      <c r="C79" s="52"/>
      <c r="D79" s="1"/>
      <c r="E79" s="1"/>
      <c r="F79" s="1"/>
      <c r="G79" s="1"/>
      <c r="H79" s="1"/>
      <c r="I79" s="1"/>
      <c r="J79" s="1"/>
      <c r="K79" s="1"/>
    </row>
    <row r="80" spans="1:13" ht="20.25">
      <c r="A80" s="299" t="s">
        <v>180</v>
      </c>
      <c r="B80" s="299"/>
      <c r="C80" s="299"/>
      <c r="D80" s="299"/>
      <c r="E80" s="299"/>
      <c r="F80" s="299"/>
      <c r="G80" s="299"/>
      <c r="H80" s="299"/>
      <c r="I80" s="299"/>
      <c r="J80" s="68"/>
      <c r="K80" s="68"/>
    </row>
    <row r="81" spans="1:11" ht="20.25">
      <c r="A81" s="299" t="s">
        <v>54</v>
      </c>
      <c r="B81" s="299"/>
      <c r="C81" s="299"/>
      <c r="D81" s="299"/>
      <c r="E81" s="299"/>
      <c r="F81" s="299"/>
      <c r="G81" s="299"/>
      <c r="H81" s="299"/>
      <c r="I81" s="299"/>
      <c r="J81" s="68"/>
      <c r="K81" s="68"/>
    </row>
    <row r="82" spans="1:11" ht="31.5">
      <c r="A82" s="302" t="s">
        <v>2</v>
      </c>
      <c r="B82" s="302"/>
      <c r="C82" s="2" t="s">
        <v>3</v>
      </c>
      <c r="D82" s="3" t="s">
        <v>4</v>
      </c>
      <c r="E82" s="4" t="s">
        <v>5</v>
      </c>
      <c r="F82" s="4" t="s">
        <v>6</v>
      </c>
      <c r="G82" s="4" t="s">
        <v>8</v>
      </c>
      <c r="H82" s="4" t="s">
        <v>9</v>
      </c>
      <c r="I82" s="58" t="s">
        <v>10</v>
      </c>
    </row>
    <row r="83" spans="1:11" ht="15.75">
      <c r="A83" s="45" t="s">
        <v>11</v>
      </c>
      <c r="B83" s="46"/>
      <c r="C83" s="35" t="s">
        <v>12</v>
      </c>
      <c r="D83" s="35" t="s">
        <v>12</v>
      </c>
      <c r="E83" s="35" t="s">
        <v>12</v>
      </c>
      <c r="F83" s="7" t="s">
        <v>12</v>
      </c>
      <c r="G83" s="35" t="s">
        <v>12</v>
      </c>
      <c r="H83" s="35" t="s">
        <v>12</v>
      </c>
      <c r="I83" s="35" t="s">
        <v>12</v>
      </c>
    </row>
    <row r="84" spans="1:11" ht="15.75">
      <c r="A84" s="9" t="s">
        <v>149</v>
      </c>
      <c r="B84" s="1"/>
      <c r="C84" s="47">
        <f>(1558*1.03)+100</f>
        <v>1704.74</v>
      </c>
      <c r="D84" s="51">
        <v>80</v>
      </c>
      <c r="E84" s="51">
        <v>20</v>
      </c>
      <c r="F84" s="21">
        <v>0</v>
      </c>
      <c r="G84" s="52">
        <v>0</v>
      </c>
      <c r="H84" s="54">
        <v>13</v>
      </c>
      <c r="I84" s="47">
        <f>SUM(C84:H84)</f>
        <v>1817.74</v>
      </c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5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5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5"/>
      <c r="K87" s="1"/>
    </row>
    <row r="88" spans="1:11">
      <c r="J88" s="242"/>
    </row>
    <row r="89" spans="1:11" s="1" customFormat="1" ht="20.25">
      <c r="A89" s="299" t="s">
        <v>37</v>
      </c>
      <c r="B89" s="299"/>
      <c r="C89" s="299"/>
      <c r="D89" s="299"/>
      <c r="E89" s="299"/>
      <c r="F89" s="299"/>
      <c r="G89" s="299"/>
      <c r="H89" s="299"/>
      <c r="I89" s="299"/>
      <c r="J89" s="243"/>
    </row>
    <row r="90" spans="1:11" s="1" customFormat="1" ht="18.75">
      <c r="A90" s="303" t="s">
        <v>55</v>
      </c>
      <c r="B90" s="303"/>
      <c r="C90" s="303"/>
      <c r="D90" s="303"/>
      <c r="E90" s="303"/>
      <c r="F90" s="303"/>
      <c r="G90" s="303"/>
      <c r="H90" s="303"/>
      <c r="I90" s="303"/>
      <c r="J90" s="244"/>
    </row>
    <row r="91" spans="1:11" s="1" customFormat="1" ht="31.5">
      <c r="A91" s="145"/>
      <c r="B91" s="145"/>
      <c r="C91" s="2" t="s">
        <v>3</v>
      </c>
      <c r="D91" s="3" t="s">
        <v>4</v>
      </c>
      <c r="E91" s="4" t="s">
        <v>5</v>
      </c>
      <c r="F91" s="4" t="s">
        <v>6</v>
      </c>
      <c r="G91" s="4" t="s">
        <v>9</v>
      </c>
      <c r="H91" s="245" t="s">
        <v>10</v>
      </c>
    </row>
    <row r="92" spans="1:11" s="1" customFormat="1" ht="15.75">
      <c r="A92" s="45" t="s">
        <v>11</v>
      </c>
      <c r="B92" s="46"/>
      <c r="C92" s="35" t="s">
        <v>39</v>
      </c>
      <c r="D92" s="35" t="s">
        <v>39</v>
      </c>
      <c r="E92" s="35" t="s">
        <v>39</v>
      </c>
      <c r="F92" s="35" t="s">
        <v>39</v>
      </c>
      <c r="G92" s="35" t="s">
        <v>39</v>
      </c>
      <c r="H92" s="246" t="s">
        <v>39</v>
      </c>
    </row>
    <row r="93" spans="1:11" s="1" customFormat="1" ht="15.75">
      <c r="A93" s="310" t="s">
        <v>149</v>
      </c>
      <c r="B93" s="310"/>
      <c r="C93" s="51">
        <f>439+16</f>
        <v>455</v>
      </c>
      <c r="D93" s="51">
        <v>9</v>
      </c>
      <c r="E93" s="51">
        <v>2</v>
      </c>
      <c r="F93" s="52">
        <v>0</v>
      </c>
      <c r="G93" s="247">
        <v>2</v>
      </c>
      <c r="H93" s="47">
        <f>SUM(C93:G93)</f>
        <v>468</v>
      </c>
    </row>
    <row r="94" spans="1:11" s="1" customFormat="1"/>
  </sheetData>
  <mergeCells count="15">
    <mergeCell ref="A70:I70"/>
    <mergeCell ref="A80:I80"/>
    <mergeCell ref="A81:I81"/>
    <mergeCell ref="A89:I89"/>
    <mergeCell ref="A90:I90"/>
    <mergeCell ref="A93:B93"/>
    <mergeCell ref="A71:I71"/>
    <mergeCell ref="A72:B72"/>
    <mergeCell ref="A82:B82"/>
    <mergeCell ref="A37:B37"/>
    <mergeCell ref="A1:I1"/>
    <mergeCell ref="A2:I2"/>
    <mergeCell ref="A35:I35"/>
    <mergeCell ref="A36:I36"/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D3D1-5B57-43D6-A7F9-D00C065AA820}">
  <dimension ref="A1:P120"/>
  <sheetViews>
    <sheetView workbookViewId="0">
      <selection sqref="A1:I1"/>
    </sheetView>
  </sheetViews>
  <sheetFormatPr defaultRowHeight="15"/>
  <cols>
    <col min="1" max="1" width="34.5703125" customWidth="1"/>
    <col min="2" max="2" width="10.140625" customWidth="1"/>
    <col min="3" max="3" width="8" bestFit="1" customWidth="1"/>
    <col min="4" max="4" width="6.7109375" customWidth="1"/>
    <col min="5" max="5" width="12.28515625" customWidth="1"/>
    <col min="6" max="8" width="13.28515625" customWidth="1"/>
    <col min="9" max="9" width="10" customWidth="1"/>
    <col min="10" max="10" width="13" customWidth="1"/>
    <col min="11" max="11" width="11.85546875" customWidth="1"/>
    <col min="12" max="12" width="9.28515625" customWidth="1"/>
    <col min="13" max="13" width="7.28515625" customWidth="1"/>
    <col min="14" max="14" width="7.7109375" customWidth="1"/>
    <col min="15" max="15" width="9.28515625" customWidth="1"/>
    <col min="16" max="16" width="9.5703125" customWidth="1"/>
  </cols>
  <sheetData>
    <row r="1" spans="1:16" ht="20.25">
      <c r="A1" s="299" t="s">
        <v>101</v>
      </c>
      <c r="B1" s="299"/>
      <c r="C1" s="299"/>
      <c r="D1" s="299"/>
      <c r="E1" s="299"/>
      <c r="F1" s="299"/>
      <c r="G1" s="299"/>
      <c r="H1" s="299"/>
      <c r="I1" s="299"/>
      <c r="J1" s="68"/>
      <c r="K1" s="68"/>
      <c r="L1" s="68"/>
      <c r="M1" s="68"/>
      <c r="N1" s="68"/>
      <c r="O1" s="68"/>
      <c r="P1" s="68"/>
    </row>
    <row r="2" spans="1:16" ht="20.25">
      <c r="A2" s="318" t="s">
        <v>102</v>
      </c>
      <c r="B2" s="318"/>
      <c r="C2" s="318"/>
      <c r="D2" s="318"/>
      <c r="E2" s="318"/>
      <c r="F2" s="318"/>
      <c r="G2" s="318"/>
      <c r="H2" s="318"/>
      <c r="I2" s="318"/>
      <c r="J2" s="152"/>
      <c r="K2" s="152"/>
      <c r="L2" s="104"/>
      <c r="M2" s="104"/>
      <c r="N2" s="104"/>
      <c r="O2" s="104"/>
      <c r="P2" s="104"/>
    </row>
    <row r="3" spans="1:16" ht="18.75">
      <c r="A3" s="105"/>
      <c r="B3" s="315" t="s">
        <v>103</v>
      </c>
      <c r="C3" s="315"/>
      <c r="D3" s="315"/>
      <c r="E3" s="315"/>
      <c r="F3" s="315"/>
      <c r="G3" s="315"/>
      <c r="H3" s="315"/>
      <c r="I3" s="315"/>
      <c r="J3" s="151"/>
      <c r="K3" s="151"/>
    </row>
    <row r="4" spans="1:16" ht="30">
      <c r="A4" s="106" t="s">
        <v>2</v>
      </c>
      <c r="B4" s="107" t="s">
        <v>3</v>
      </c>
      <c r="C4" s="108" t="s">
        <v>4</v>
      </c>
      <c r="D4" s="109" t="s">
        <v>104</v>
      </c>
      <c r="E4" s="4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6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6">
      <c r="A6" s="112" t="s">
        <v>106</v>
      </c>
      <c r="B6" s="113">
        <f>(3130*1.03)+100</f>
        <v>3323.9</v>
      </c>
      <c r="C6" s="113">
        <v>80</v>
      </c>
      <c r="D6" s="114">
        <v>20</v>
      </c>
      <c r="E6" s="114">
        <v>220</v>
      </c>
      <c r="F6" s="114">
        <v>120</v>
      </c>
      <c r="G6" s="115">
        <v>2000</v>
      </c>
      <c r="H6" s="115">
        <v>13</v>
      </c>
      <c r="I6" s="116">
        <f>SUM(B6:H6)</f>
        <v>5776.9</v>
      </c>
    </row>
    <row r="7" spans="1:16">
      <c r="A7" s="112" t="s">
        <v>107</v>
      </c>
      <c r="B7" s="113">
        <f>(5056*1.06)+100</f>
        <v>5459.3600000000006</v>
      </c>
      <c r="C7" s="113">
        <v>80</v>
      </c>
      <c r="D7" s="114">
        <v>20</v>
      </c>
      <c r="E7" s="114">
        <v>220</v>
      </c>
      <c r="F7" s="114">
        <v>120</v>
      </c>
      <c r="G7" s="115">
        <v>2000</v>
      </c>
      <c r="H7" s="115">
        <v>13</v>
      </c>
      <c r="I7" s="116">
        <f>SUM(B7:H7)</f>
        <v>7912.3600000000006</v>
      </c>
    </row>
    <row r="8" spans="1:16">
      <c r="K8" s="121"/>
    </row>
    <row r="9" spans="1:16">
      <c r="N9" s="117"/>
    </row>
    <row r="10" spans="1:16">
      <c r="N10" s="117"/>
    </row>
    <row r="11" spans="1:16">
      <c r="N11" s="117"/>
    </row>
    <row r="12" spans="1:16" ht="20.25">
      <c r="A12" s="299" t="s">
        <v>101</v>
      </c>
      <c r="B12" s="299"/>
      <c r="C12" s="299"/>
      <c r="D12" s="299"/>
      <c r="E12" s="299"/>
      <c r="F12" s="299"/>
      <c r="G12" s="299"/>
      <c r="H12" s="299"/>
      <c r="I12" s="299"/>
      <c r="J12" s="68"/>
      <c r="K12" s="68"/>
      <c r="L12" s="68"/>
      <c r="M12" s="68"/>
      <c r="N12" s="68"/>
      <c r="O12" s="68"/>
      <c r="P12" s="68"/>
    </row>
    <row r="13" spans="1:16" ht="20.25">
      <c r="A13" s="318" t="s">
        <v>108</v>
      </c>
      <c r="B13" s="318"/>
      <c r="C13" s="318"/>
      <c r="D13" s="318"/>
      <c r="E13" s="318"/>
      <c r="F13" s="318"/>
      <c r="G13" s="318"/>
      <c r="H13" s="318"/>
      <c r="I13" s="318"/>
      <c r="J13" s="152"/>
      <c r="K13" s="152"/>
      <c r="L13" s="104"/>
      <c r="M13" s="104"/>
      <c r="N13" s="104"/>
      <c r="O13" s="104"/>
      <c r="P13" s="104"/>
    </row>
    <row r="14" spans="1:16" ht="18.75">
      <c r="A14" s="105"/>
      <c r="B14" s="315" t="s">
        <v>103</v>
      </c>
      <c r="C14" s="315"/>
      <c r="D14" s="315"/>
      <c r="E14" s="315"/>
      <c r="F14" s="315"/>
      <c r="G14" s="315"/>
      <c r="H14" s="315"/>
      <c r="I14" s="315"/>
      <c r="J14" s="151"/>
      <c r="K14" s="151"/>
    </row>
    <row r="15" spans="1:16" ht="30">
      <c r="A15" s="106" t="s">
        <v>2</v>
      </c>
      <c r="B15" s="107" t="s">
        <v>3</v>
      </c>
      <c r="C15" s="108" t="s">
        <v>4</v>
      </c>
      <c r="D15" s="109" t="s">
        <v>104</v>
      </c>
      <c r="E15" s="4" t="s">
        <v>7</v>
      </c>
      <c r="F15" s="4" t="s">
        <v>6</v>
      </c>
      <c r="G15" s="111" t="s">
        <v>105</v>
      </c>
      <c r="H15" s="4" t="s">
        <v>9</v>
      </c>
      <c r="I15" s="108" t="s">
        <v>10</v>
      </c>
    </row>
    <row r="16" spans="1:16" ht="15.75">
      <c r="A16" s="105"/>
      <c r="B16" s="7" t="s">
        <v>12</v>
      </c>
      <c r="C16" s="7" t="s">
        <v>12</v>
      </c>
      <c r="D16" s="7" t="s">
        <v>12</v>
      </c>
      <c r="E16" s="7" t="s">
        <v>12</v>
      </c>
      <c r="F16" s="7" t="s">
        <v>12</v>
      </c>
      <c r="G16" s="7" t="s">
        <v>12</v>
      </c>
      <c r="H16" s="7" t="s">
        <v>12</v>
      </c>
      <c r="I16" s="7" t="s">
        <v>12</v>
      </c>
    </row>
    <row r="17" spans="1:16">
      <c r="A17" s="112" t="s">
        <v>109</v>
      </c>
      <c r="B17" s="113">
        <f>(4005*1.06)+100</f>
        <v>4345.3</v>
      </c>
      <c r="C17" s="113">
        <v>80</v>
      </c>
      <c r="D17" s="114">
        <v>20</v>
      </c>
      <c r="E17" s="114">
        <v>220</v>
      </c>
      <c r="F17" s="114">
        <v>120</v>
      </c>
      <c r="G17" s="115">
        <v>3000</v>
      </c>
      <c r="H17" s="115">
        <v>13</v>
      </c>
      <c r="I17" s="116">
        <f>SUM(B17:H17)</f>
        <v>7798.3</v>
      </c>
    </row>
    <row r="18" spans="1:16">
      <c r="A18" s="43"/>
      <c r="B18" s="118"/>
      <c r="C18" s="118"/>
      <c r="D18" s="119"/>
      <c r="E18" s="119"/>
      <c r="F18" s="119"/>
      <c r="G18" s="119"/>
      <c r="H18" s="119"/>
      <c r="I18" s="120"/>
      <c r="J18" s="120"/>
      <c r="K18" s="121"/>
    </row>
    <row r="19" spans="1:16">
      <c r="A19" s="43"/>
      <c r="B19" s="118"/>
      <c r="C19" s="118"/>
      <c r="D19" s="119"/>
      <c r="E19" s="119"/>
      <c r="F19" s="119"/>
      <c r="G19" s="119"/>
      <c r="H19" s="119"/>
      <c r="I19" s="120"/>
      <c r="J19" s="120"/>
      <c r="K19" s="121"/>
    </row>
    <row r="20" spans="1:16">
      <c r="A20" s="43"/>
      <c r="B20" s="118"/>
      <c r="C20" s="118"/>
      <c r="D20" s="119"/>
      <c r="E20" s="119"/>
      <c r="F20" s="119"/>
      <c r="G20" s="119"/>
      <c r="H20" s="119"/>
      <c r="I20" s="120"/>
      <c r="J20" s="120"/>
      <c r="K20" s="121"/>
    </row>
    <row r="21" spans="1:16">
      <c r="A21" s="43"/>
      <c r="B21" s="118"/>
      <c r="C21" s="118"/>
      <c r="D21" s="119"/>
      <c r="E21" s="119"/>
      <c r="F21" s="119"/>
      <c r="G21" s="119"/>
      <c r="H21" s="119"/>
      <c r="I21" s="120"/>
      <c r="J21" s="120"/>
      <c r="K21" s="121"/>
    </row>
    <row r="22" spans="1:16" ht="20.25">
      <c r="A22" s="299" t="s">
        <v>101</v>
      </c>
      <c r="B22" s="299"/>
      <c r="C22" s="299"/>
      <c r="D22" s="299"/>
      <c r="E22" s="299"/>
      <c r="F22" s="299"/>
      <c r="G22" s="299"/>
      <c r="H22" s="299"/>
      <c r="I22" s="299"/>
      <c r="J22" s="68"/>
      <c r="K22" s="68"/>
      <c r="L22" s="68"/>
      <c r="M22" s="68"/>
      <c r="N22" s="68"/>
      <c r="O22" s="68"/>
      <c r="P22" s="68"/>
    </row>
    <row r="23" spans="1:16" ht="20.25">
      <c r="A23" s="318" t="s">
        <v>110</v>
      </c>
      <c r="B23" s="318"/>
      <c r="C23" s="318"/>
      <c r="D23" s="318"/>
      <c r="E23" s="318"/>
      <c r="F23" s="318"/>
      <c r="G23" s="318"/>
      <c r="H23" s="318"/>
      <c r="I23" s="318"/>
      <c r="J23" s="152"/>
      <c r="K23" s="152"/>
      <c r="L23" s="104"/>
      <c r="M23" s="104"/>
      <c r="N23" s="104"/>
      <c r="O23" s="104"/>
      <c r="P23" s="104"/>
    </row>
    <row r="24" spans="1:16" ht="18.75">
      <c r="A24" s="105"/>
      <c r="B24" s="315" t="s">
        <v>103</v>
      </c>
      <c r="C24" s="315"/>
      <c r="D24" s="315"/>
      <c r="E24" s="315"/>
      <c r="F24" s="315"/>
      <c r="G24" s="315"/>
      <c r="H24" s="315"/>
      <c r="I24" s="315"/>
      <c r="J24" s="151"/>
      <c r="K24" s="151"/>
    </row>
    <row r="25" spans="1:16" ht="30">
      <c r="A25" s="106" t="s">
        <v>2</v>
      </c>
      <c r="B25" s="107" t="s">
        <v>3</v>
      </c>
      <c r="C25" s="122" t="s">
        <v>4</v>
      </c>
      <c r="D25" s="109" t="s">
        <v>104</v>
      </c>
      <c r="E25" s="4" t="s">
        <v>7</v>
      </c>
      <c r="F25" s="4" t="s">
        <v>6</v>
      </c>
      <c r="G25" s="111" t="s">
        <v>105</v>
      </c>
      <c r="H25" s="4" t="s">
        <v>9</v>
      </c>
      <c r="I25" s="108" t="s">
        <v>10</v>
      </c>
    </row>
    <row r="26" spans="1:16" ht="15.75">
      <c r="A26" s="105"/>
      <c r="B26" s="7" t="s">
        <v>12</v>
      </c>
      <c r="C26" s="7" t="s">
        <v>12</v>
      </c>
      <c r="D26" s="7" t="s">
        <v>12</v>
      </c>
      <c r="E26" s="7" t="s">
        <v>12</v>
      </c>
      <c r="F26" s="7" t="s">
        <v>12</v>
      </c>
      <c r="G26" s="7" t="s">
        <v>12</v>
      </c>
      <c r="H26" s="7" t="s">
        <v>12</v>
      </c>
      <c r="I26" s="7" t="s">
        <v>12</v>
      </c>
    </row>
    <row r="27" spans="1:16" ht="15.75">
      <c r="A27" s="123" t="s">
        <v>111</v>
      </c>
      <c r="B27" s="113">
        <f>(4361*1.06)+100</f>
        <v>4722.66</v>
      </c>
      <c r="C27" s="113">
        <v>80</v>
      </c>
      <c r="D27" s="114">
        <v>20</v>
      </c>
      <c r="E27" s="114">
        <v>220</v>
      </c>
      <c r="F27" s="114">
        <v>120</v>
      </c>
      <c r="G27" s="115">
        <f>800*1.05</f>
        <v>840</v>
      </c>
      <c r="H27" s="115">
        <v>13</v>
      </c>
      <c r="I27" s="116">
        <f t="shared" ref="I27:I33" si="0">SUM(B27:H27)</f>
        <v>6015.66</v>
      </c>
      <c r="K27" s="120"/>
      <c r="N27" s="124"/>
    </row>
    <row r="28" spans="1:16" ht="15.75">
      <c r="A28" s="123" t="s">
        <v>112</v>
      </c>
      <c r="B28" s="125">
        <f>(3406*1.03)+100</f>
        <v>3608.1800000000003</v>
      </c>
      <c r="C28" s="113">
        <v>80</v>
      </c>
      <c r="D28" s="114">
        <v>20</v>
      </c>
      <c r="E28" s="114">
        <v>220</v>
      </c>
      <c r="F28" s="114">
        <v>120</v>
      </c>
      <c r="G28" s="115">
        <f t="shared" ref="G28:G33" si="1">800*1.05</f>
        <v>840</v>
      </c>
      <c r="H28" s="115">
        <v>13</v>
      </c>
      <c r="I28" s="116">
        <f t="shared" si="0"/>
        <v>4901.18</v>
      </c>
      <c r="K28" s="120"/>
      <c r="N28" s="124"/>
    </row>
    <row r="29" spans="1:16" ht="15.75">
      <c r="A29" s="123" t="s">
        <v>113</v>
      </c>
      <c r="B29" s="125">
        <f>(3406*1.03)+100</f>
        <v>3608.1800000000003</v>
      </c>
      <c r="C29" s="113">
        <v>80</v>
      </c>
      <c r="D29" s="114">
        <v>20</v>
      </c>
      <c r="E29" s="114">
        <v>220</v>
      </c>
      <c r="F29" s="114">
        <v>120</v>
      </c>
      <c r="G29" s="115">
        <f t="shared" si="1"/>
        <v>840</v>
      </c>
      <c r="H29" s="115">
        <v>13</v>
      </c>
      <c r="I29" s="116">
        <f t="shared" si="0"/>
        <v>4901.18</v>
      </c>
      <c r="K29" s="120"/>
      <c r="N29" s="124"/>
    </row>
    <row r="30" spans="1:16" ht="15.75">
      <c r="A30" s="123" t="s">
        <v>114</v>
      </c>
      <c r="B30" s="125">
        <f>(4163*1.03)+100</f>
        <v>4387.8900000000003</v>
      </c>
      <c r="C30" s="113">
        <v>80</v>
      </c>
      <c r="D30" s="114">
        <v>20</v>
      </c>
      <c r="E30" s="114">
        <v>220</v>
      </c>
      <c r="F30" s="114">
        <v>120</v>
      </c>
      <c r="G30" s="115">
        <f t="shared" si="1"/>
        <v>840</v>
      </c>
      <c r="H30" s="115">
        <v>13</v>
      </c>
      <c r="I30" s="116">
        <f t="shared" si="0"/>
        <v>5680.89</v>
      </c>
      <c r="K30" s="120"/>
      <c r="N30" s="124"/>
    </row>
    <row r="31" spans="1:16" ht="15.75">
      <c r="A31" s="123" t="s">
        <v>115</v>
      </c>
      <c r="B31" s="125">
        <f>(3406*1.03)+100</f>
        <v>3608.1800000000003</v>
      </c>
      <c r="C31" s="113">
        <v>80</v>
      </c>
      <c r="D31" s="114">
        <v>20</v>
      </c>
      <c r="E31" s="114">
        <v>220</v>
      </c>
      <c r="F31" s="114">
        <v>120</v>
      </c>
      <c r="G31" s="115">
        <f t="shared" si="1"/>
        <v>840</v>
      </c>
      <c r="H31" s="115">
        <v>13</v>
      </c>
      <c r="I31" s="116">
        <f t="shared" si="0"/>
        <v>4901.18</v>
      </c>
      <c r="K31" s="120"/>
      <c r="N31" s="124"/>
    </row>
    <row r="32" spans="1:16" ht="15.75">
      <c r="A32" s="123" t="s">
        <v>116</v>
      </c>
      <c r="B32" s="125">
        <f>(3406*1.03)+100</f>
        <v>3608.1800000000003</v>
      </c>
      <c r="C32" s="113">
        <v>80</v>
      </c>
      <c r="D32" s="114">
        <v>20</v>
      </c>
      <c r="E32" s="114">
        <v>220</v>
      </c>
      <c r="F32" s="114">
        <v>120</v>
      </c>
      <c r="G32" s="115">
        <f t="shared" si="1"/>
        <v>840</v>
      </c>
      <c r="H32" s="115">
        <v>13</v>
      </c>
      <c r="I32" s="116">
        <f t="shared" si="0"/>
        <v>4901.18</v>
      </c>
      <c r="K32" s="120"/>
      <c r="N32" s="124"/>
    </row>
    <row r="33" spans="1:16" ht="15.75">
      <c r="A33" s="123" t="s">
        <v>117</v>
      </c>
      <c r="B33" s="125">
        <f>(3406*1.03)+100</f>
        <v>3608.1800000000003</v>
      </c>
      <c r="C33" s="113">
        <v>80</v>
      </c>
      <c r="D33" s="114">
        <v>20</v>
      </c>
      <c r="E33" s="114">
        <v>220</v>
      </c>
      <c r="F33" s="114">
        <v>120</v>
      </c>
      <c r="G33" s="115">
        <f t="shared" si="1"/>
        <v>840</v>
      </c>
      <c r="H33" s="115">
        <v>13</v>
      </c>
      <c r="I33" s="116">
        <f t="shared" si="0"/>
        <v>4901.18</v>
      </c>
      <c r="K33" s="120"/>
      <c r="N33" s="124"/>
    </row>
    <row r="34" spans="1:16" ht="15.75">
      <c r="A34" s="9"/>
      <c r="B34" s="120"/>
      <c r="C34" s="119"/>
      <c r="D34" s="119"/>
      <c r="E34" s="119"/>
      <c r="F34" s="119"/>
      <c r="G34" s="119"/>
      <c r="H34" s="119"/>
      <c r="I34" s="120"/>
      <c r="J34" s="120"/>
      <c r="K34" s="126"/>
      <c r="L34" s="120"/>
      <c r="M34" s="119"/>
      <c r="N34" s="119"/>
      <c r="O34" s="120"/>
      <c r="P34" s="127"/>
    </row>
    <row r="35" spans="1:16">
      <c r="N35" s="117"/>
    </row>
    <row r="36" spans="1:16">
      <c r="N36" s="117"/>
    </row>
    <row r="37" spans="1:16" ht="20.25">
      <c r="A37" s="299" t="s">
        <v>101</v>
      </c>
      <c r="B37" s="299"/>
      <c r="C37" s="299"/>
      <c r="D37" s="299"/>
      <c r="E37" s="299"/>
      <c r="F37" s="299"/>
      <c r="G37" s="299"/>
      <c r="H37" s="299"/>
      <c r="I37" s="299"/>
      <c r="J37" s="68"/>
      <c r="K37" s="68"/>
      <c r="L37" s="68"/>
      <c r="M37" s="68"/>
      <c r="N37" s="68"/>
      <c r="O37" s="68"/>
      <c r="P37" s="68"/>
    </row>
    <row r="38" spans="1:16" ht="20.25">
      <c r="A38" s="318" t="s">
        <v>118</v>
      </c>
      <c r="B38" s="318"/>
      <c r="C38" s="318"/>
      <c r="D38" s="318"/>
      <c r="E38" s="318"/>
      <c r="F38" s="318"/>
      <c r="G38" s="318"/>
      <c r="H38" s="318"/>
      <c r="I38" s="318"/>
      <c r="J38" s="152"/>
      <c r="K38" s="152"/>
      <c r="L38" s="104"/>
      <c r="M38" s="104"/>
      <c r="N38" s="104"/>
      <c r="O38" s="104"/>
      <c r="P38" s="104"/>
    </row>
    <row r="39" spans="1:16" ht="18.75">
      <c r="A39" s="105"/>
      <c r="B39" s="315" t="s">
        <v>103</v>
      </c>
      <c r="C39" s="315"/>
      <c r="D39" s="315"/>
      <c r="E39" s="315"/>
      <c r="F39" s="315"/>
      <c r="G39" s="315"/>
      <c r="H39" s="315"/>
      <c r="I39" s="315"/>
      <c r="J39" s="151"/>
      <c r="K39" s="151"/>
    </row>
    <row r="40" spans="1:16" ht="30">
      <c r="A40" s="106" t="s">
        <v>2</v>
      </c>
      <c r="B40" s="107" t="s">
        <v>3</v>
      </c>
      <c r="C40" s="108" t="s">
        <v>4</v>
      </c>
      <c r="D40" s="109" t="s">
        <v>104</v>
      </c>
      <c r="E40" s="4" t="s">
        <v>7</v>
      </c>
      <c r="F40" s="4" t="s">
        <v>6</v>
      </c>
      <c r="G40" s="111" t="s">
        <v>105</v>
      </c>
      <c r="H40" s="4" t="s">
        <v>9</v>
      </c>
      <c r="I40" s="108" t="s">
        <v>10</v>
      </c>
    </row>
    <row r="41" spans="1:16" ht="15.75">
      <c r="A41" s="105"/>
      <c r="B41" s="7" t="s">
        <v>12</v>
      </c>
      <c r="C41" s="7" t="s">
        <v>12</v>
      </c>
      <c r="D41" s="7" t="s">
        <v>12</v>
      </c>
      <c r="E41" s="7" t="s">
        <v>12</v>
      </c>
      <c r="F41" s="7" t="s">
        <v>12</v>
      </c>
      <c r="G41" s="7" t="s">
        <v>12</v>
      </c>
      <c r="H41" s="7" t="s">
        <v>12</v>
      </c>
      <c r="I41" s="7" t="s">
        <v>12</v>
      </c>
    </row>
    <row r="42" spans="1:16" ht="15.75">
      <c r="A42" s="123" t="s">
        <v>119</v>
      </c>
      <c r="B42" s="128">
        <f>(4302*1.03)+100</f>
        <v>4531.0600000000004</v>
      </c>
      <c r="C42" s="113">
        <v>80</v>
      </c>
      <c r="D42" s="114">
        <v>20</v>
      </c>
      <c r="E42" s="114">
        <v>220</v>
      </c>
      <c r="F42" s="114">
        <v>120</v>
      </c>
      <c r="G42" s="115">
        <v>600</v>
      </c>
      <c r="H42" s="115">
        <v>13</v>
      </c>
      <c r="I42" s="116">
        <f>SUM(B42:H42)</f>
        <v>5584.06</v>
      </c>
    </row>
    <row r="43" spans="1:16" ht="15.75">
      <c r="A43" s="123" t="s">
        <v>120</v>
      </c>
      <c r="B43" s="128">
        <f>(4302*1.03)+100</f>
        <v>4531.0600000000004</v>
      </c>
      <c r="C43" s="113">
        <v>80</v>
      </c>
      <c r="D43" s="114">
        <v>20</v>
      </c>
      <c r="E43" s="114">
        <v>220</v>
      </c>
      <c r="F43" s="114">
        <v>120</v>
      </c>
      <c r="G43" s="115">
        <v>600</v>
      </c>
      <c r="H43" s="115">
        <v>13</v>
      </c>
      <c r="I43" s="116">
        <f>SUM(B43:H43)</f>
        <v>5584.06</v>
      </c>
    </row>
    <row r="44" spans="1:16" ht="15.75">
      <c r="A44" s="123" t="s">
        <v>121</v>
      </c>
      <c r="B44" s="128">
        <f>(3228*1.03)+100</f>
        <v>3424.84</v>
      </c>
      <c r="C44" s="113">
        <v>80</v>
      </c>
      <c r="D44" s="114">
        <v>20</v>
      </c>
      <c r="E44" s="114">
        <v>220</v>
      </c>
      <c r="F44" s="114">
        <v>120</v>
      </c>
      <c r="G44" s="114">
        <v>0</v>
      </c>
      <c r="H44" s="115">
        <v>13</v>
      </c>
      <c r="I44" s="116">
        <f>SUM(B44:H44)</f>
        <v>3877.84</v>
      </c>
    </row>
    <row r="45" spans="1:16" ht="15.75">
      <c r="A45" s="123" t="s">
        <v>122</v>
      </c>
      <c r="B45" s="128">
        <f>(3228*1.03)+100</f>
        <v>3424.84</v>
      </c>
      <c r="C45" s="113">
        <v>80</v>
      </c>
      <c r="D45" s="114">
        <v>20</v>
      </c>
      <c r="E45" s="114">
        <v>220</v>
      </c>
      <c r="F45" s="114">
        <v>120</v>
      </c>
      <c r="G45" s="114">
        <v>0</v>
      </c>
      <c r="H45" s="115">
        <v>13</v>
      </c>
      <c r="I45" s="116">
        <f>SUM(B45:H45)</f>
        <v>3877.84</v>
      </c>
    </row>
    <row r="46" spans="1:16" ht="15.75">
      <c r="A46" s="9"/>
      <c r="B46" s="129"/>
      <c r="C46" s="130"/>
      <c r="D46" s="130"/>
      <c r="E46" s="130"/>
      <c r="F46" s="130"/>
      <c r="G46" s="130"/>
      <c r="H46" s="130"/>
      <c r="I46" s="129"/>
      <c r="J46" s="129"/>
      <c r="K46" s="126"/>
      <c r="L46" s="129"/>
      <c r="M46" s="130"/>
      <c r="N46" s="130"/>
      <c r="O46" s="130"/>
      <c r="P46" s="127"/>
    </row>
    <row r="47" spans="1:16" ht="15.75">
      <c r="B47" s="129"/>
      <c r="C47" s="130"/>
      <c r="D47" s="130"/>
      <c r="E47" s="130"/>
      <c r="F47" s="130"/>
      <c r="G47" s="130"/>
      <c r="H47" s="130"/>
      <c r="I47" s="129"/>
      <c r="J47" s="129"/>
      <c r="K47" s="126"/>
      <c r="L47" s="129"/>
      <c r="M47" s="130"/>
      <c r="N47" s="130"/>
      <c r="O47" s="130"/>
      <c r="P47" s="127"/>
    </row>
    <row r="48" spans="1:16" ht="15.75">
      <c r="B48" s="129"/>
      <c r="C48" s="130"/>
      <c r="D48" s="130"/>
      <c r="E48" s="130"/>
      <c r="F48" s="130"/>
      <c r="G48" s="130"/>
      <c r="H48" s="130"/>
      <c r="I48" s="129"/>
      <c r="J48" s="129"/>
      <c r="K48" s="126"/>
      <c r="L48" s="129"/>
      <c r="M48" s="130"/>
      <c r="N48" s="130"/>
      <c r="O48" s="130"/>
      <c r="P48" s="127"/>
    </row>
    <row r="49" spans="1:16" ht="15.75">
      <c r="B49" s="129"/>
      <c r="C49" s="130"/>
      <c r="D49" s="130"/>
      <c r="E49" s="130"/>
      <c r="F49" s="130"/>
      <c r="G49" s="130"/>
      <c r="H49" s="130"/>
      <c r="I49" s="129"/>
      <c r="J49" s="129"/>
      <c r="K49" s="126"/>
      <c r="L49" s="129"/>
      <c r="M49" s="130"/>
      <c r="N49" s="130"/>
      <c r="O49" s="130"/>
      <c r="P49" s="127"/>
    </row>
    <row r="50" spans="1:16" ht="15.75">
      <c r="B50" s="129"/>
      <c r="C50" s="130"/>
      <c r="D50" s="130"/>
      <c r="E50" s="130"/>
      <c r="F50" s="130"/>
      <c r="G50" s="130"/>
      <c r="H50" s="130"/>
      <c r="I50" s="129"/>
      <c r="J50" s="129"/>
      <c r="K50" s="126"/>
      <c r="L50" s="129"/>
      <c r="M50" s="130"/>
      <c r="N50" s="130"/>
      <c r="O50" s="130"/>
      <c r="P50" s="127"/>
    </row>
    <row r="51" spans="1:16" ht="20.25">
      <c r="A51" s="299" t="s">
        <v>101</v>
      </c>
      <c r="B51" s="299"/>
      <c r="C51" s="299"/>
      <c r="D51" s="299"/>
      <c r="E51" s="299"/>
      <c r="F51" s="299"/>
      <c r="G51" s="299"/>
      <c r="H51" s="299"/>
      <c r="I51" s="299"/>
      <c r="J51" s="68"/>
      <c r="K51" s="68"/>
      <c r="L51" s="68"/>
      <c r="M51" s="68"/>
      <c r="N51" s="68"/>
      <c r="O51" s="68"/>
      <c r="P51" s="68"/>
    </row>
    <row r="52" spans="1:16" ht="20.25">
      <c r="A52" s="319" t="s">
        <v>123</v>
      </c>
      <c r="B52" s="319"/>
      <c r="C52" s="319"/>
      <c r="D52" s="319"/>
      <c r="E52" s="319"/>
      <c r="F52" s="319"/>
      <c r="G52" s="319"/>
      <c r="H52" s="319"/>
      <c r="I52" s="319"/>
      <c r="J52" s="153"/>
      <c r="K52" s="153"/>
      <c r="L52" s="104"/>
      <c r="M52" s="104"/>
      <c r="N52" s="104"/>
      <c r="O52" s="104"/>
      <c r="P52" s="104"/>
    </row>
    <row r="53" spans="1:16" ht="18.75">
      <c r="A53" s="105"/>
      <c r="B53" s="315" t="s">
        <v>103</v>
      </c>
      <c r="C53" s="315"/>
      <c r="D53" s="315"/>
      <c r="E53" s="315"/>
      <c r="F53" s="315"/>
      <c r="G53" s="315"/>
      <c r="H53" s="315"/>
      <c r="I53" s="315"/>
      <c r="J53" s="151"/>
      <c r="K53" s="151"/>
      <c r="L53" s="320"/>
      <c r="M53" s="320"/>
      <c r="N53" s="320"/>
      <c r="O53" s="320"/>
      <c r="P53" s="320"/>
    </row>
    <row r="54" spans="1:16" ht="30">
      <c r="A54" s="106" t="s">
        <v>2</v>
      </c>
      <c r="B54" s="107" t="s">
        <v>3</v>
      </c>
      <c r="C54" s="108" t="s">
        <v>4</v>
      </c>
      <c r="D54" s="109" t="s">
        <v>104</v>
      </c>
      <c r="E54" s="4" t="s">
        <v>7</v>
      </c>
      <c r="F54" s="4" t="s">
        <v>6</v>
      </c>
      <c r="G54" s="111" t="s">
        <v>105</v>
      </c>
      <c r="H54" s="4" t="s">
        <v>9</v>
      </c>
      <c r="I54" s="108" t="s">
        <v>10</v>
      </c>
      <c r="J54" s="4"/>
      <c r="K54" s="131"/>
      <c r="L54" s="132"/>
      <c r="M54" s="133"/>
      <c r="N54" s="131"/>
    </row>
    <row r="55" spans="1:16" ht="15.75">
      <c r="A55" s="105"/>
      <c r="B55" s="7" t="s">
        <v>12</v>
      </c>
      <c r="C55" s="7" t="s">
        <v>12</v>
      </c>
      <c r="D55" s="7" t="s">
        <v>12</v>
      </c>
      <c r="E55" s="7" t="s">
        <v>12</v>
      </c>
      <c r="F55" s="7" t="s">
        <v>12</v>
      </c>
      <c r="G55" s="7" t="s">
        <v>12</v>
      </c>
      <c r="H55" s="7" t="s">
        <v>12</v>
      </c>
      <c r="I55" s="7" t="s">
        <v>12</v>
      </c>
      <c r="J55" s="3"/>
      <c r="K55" s="3"/>
      <c r="L55" s="3"/>
      <c r="M55" s="3"/>
      <c r="N55" s="3"/>
    </row>
    <row r="56" spans="1:16" ht="15.75">
      <c r="A56" s="123" t="s">
        <v>124</v>
      </c>
      <c r="B56" s="134">
        <f>(5551*1.06)+100</f>
        <v>5984.06</v>
      </c>
      <c r="C56" s="113">
        <v>80</v>
      </c>
      <c r="D56" s="114">
        <v>20</v>
      </c>
      <c r="E56" s="135">
        <v>220</v>
      </c>
      <c r="F56" s="135">
        <v>120</v>
      </c>
      <c r="G56" s="136">
        <v>1500</v>
      </c>
      <c r="H56" s="136">
        <v>13</v>
      </c>
      <c r="I56" s="116">
        <f>SUM(B56:H56)</f>
        <v>7937.06</v>
      </c>
      <c r="J56" s="137"/>
      <c r="K56" s="138"/>
      <c r="L56" s="138"/>
      <c r="M56" s="137"/>
      <c r="N56" s="127"/>
    </row>
    <row r="57" spans="1:16" ht="15.75">
      <c r="A57" s="9"/>
      <c r="B57" s="129"/>
      <c r="C57" s="130"/>
      <c r="D57" s="130"/>
      <c r="E57" s="130"/>
      <c r="F57" s="130"/>
      <c r="G57" s="130"/>
      <c r="H57" s="130"/>
      <c r="I57" s="129"/>
      <c r="J57" s="129"/>
      <c r="K57" s="126"/>
      <c r="L57" s="129"/>
      <c r="M57" s="130"/>
      <c r="N57" s="130"/>
      <c r="O57" s="129"/>
      <c r="P57" s="127"/>
    </row>
    <row r="58" spans="1:16" ht="15.75">
      <c r="B58" s="129"/>
      <c r="C58" s="130"/>
      <c r="D58" s="130"/>
      <c r="E58" s="130"/>
      <c r="F58" s="130"/>
      <c r="G58" s="130"/>
      <c r="H58" s="130"/>
      <c r="I58" s="129"/>
      <c r="J58" s="129"/>
      <c r="K58" s="126"/>
      <c r="L58" s="129"/>
      <c r="M58" s="130"/>
      <c r="N58" s="130"/>
      <c r="O58" s="129"/>
      <c r="P58" s="127"/>
    </row>
    <row r="59" spans="1:16" ht="15.75">
      <c r="B59" s="129"/>
      <c r="C59" s="130"/>
      <c r="D59" s="130"/>
      <c r="E59" s="130"/>
      <c r="F59" s="130"/>
      <c r="G59" s="130"/>
      <c r="H59" s="130"/>
      <c r="I59" s="129"/>
      <c r="J59" s="129"/>
      <c r="K59" s="126"/>
      <c r="L59" s="129"/>
      <c r="M59" s="130"/>
      <c r="N59" s="130"/>
      <c r="O59" s="129"/>
      <c r="P59" s="127"/>
    </row>
    <row r="60" spans="1:16" ht="15.75">
      <c r="A60" s="9"/>
      <c r="B60" s="129"/>
      <c r="C60" s="130"/>
      <c r="D60" s="130"/>
      <c r="E60" s="130"/>
      <c r="F60" s="130"/>
      <c r="G60" s="130"/>
      <c r="H60" s="130"/>
      <c r="I60" s="129"/>
      <c r="J60" s="129"/>
      <c r="K60" s="126"/>
      <c r="L60" s="129"/>
      <c r="M60" s="130"/>
      <c r="N60" s="130"/>
      <c r="O60" s="129"/>
      <c r="P60" s="127"/>
    </row>
    <row r="61" spans="1:16" ht="15.75">
      <c r="A61" s="9"/>
      <c r="B61" s="129"/>
      <c r="C61" s="130"/>
      <c r="D61" s="130"/>
      <c r="E61" s="130"/>
      <c r="F61" s="130"/>
      <c r="G61" s="130"/>
      <c r="H61" s="130"/>
      <c r="I61" s="129"/>
      <c r="J61" s="129"/>
      <c r="K61" s="126"/>
      <c r="L61" s="129"/>
      <c r="M61" s="130"/>
      <c r="N61" s="130"/>
      <c r="O61" s="129"/>
      <c r="P61" s="127"/>
    </row>
    <row r="63" spans="1:16" ht="20.25">
      <c r="A63" s="299" t="s">
        <v>101</v>
      </c>
      <c r="B63" s="299"/>
      <c r="C63" s="299"/>
      <c r="D63" s="299"/>
      <c r="E63" s="299"/>
      <c r="F63" s="299"/>
      <c r="G63" s="299"/>
      <c r="H63" s="299"/>
      <c r="I63" s="299"/>
      <c r="J63" s="68"/>
      <c r="K63" s="68"/>
      <c r="L63" s="68"/>
      <c r="M63" s="68"/>
      <c r="N63" s="68"/>
      <c r="O63" s="68"/>
      <c r="P63" s="68"/>
    </row>
    <row r="64" spans="1:16" ht="20.25">
      <c r="A64" s="316" t="s">
        <v>125</v>
      </c>
      <c r="B64" s="316"/>
      <c r="C64" s="316"/>
      <c r="D64" s="316"/>
      <c r="E64" s="316"/>
      <c r="F64" s="316"/>
      <c r="G64" s="316"/>
      <c r="H64" s="316"/>
      <c r="I64" s="316"/>
      <c r="J64" s="154"/>
      <c r="K64" s="154"/>
      <c r="L64" s="104"/>
      <c r="M64" s="104"/>
      <c r="N64" s="104"/>
      <c r="O64" s="104"/>
      <c r="P64" s="104"/>
    </row>
    <row r="65" spans="1:16" ht="18.75">
      <c r="A65" s="105"/>
      <c r="B65" s="315" t="s">
        <v>103</v>
      </c>
      <c r="C65" s="315"/>
      <c r="D65" s="315"/>
      <c r="E65" s="315"/>
      <c r="F65" s="315"/>
      <c r="G65" s="315"/>
      <c r="H65" s="315"/>
      <c r="I65" s="315"/>
      <c r="J65" s="151"/>
      <c r="K65" s="151"/>
    </row>
    <row r="66" spans="1:16" ht="30">
      <c r="A66" s="106" t="s">
        <v>2</v>
      </c>
      <c r="B66" s="107" t="s">
        <v>3</v>
      </c>
      <c r="C66" s="108" t="s">
        <v>4</v>
      </c>
      <c r="D66" s="109" t="s">
        <v>104</v>
      </c>
      <c r="E66" s="4" t="s">
        <v>7</v>
      </c>
      <c r="F66" s="4" t="s">
        <v>6</v>
      </c>
      <c r="G66" s="111" t="s">
        <v>105</v>
      </c>
      <c r="H66" s="4" t="s">
        <v>9</v>
      </c>
      <c r="I66" s="108" t="s">
        <v>10</v>
      </c>
    </row>
    <row r="67" spans="1:16" ht="15.75">
      <c r="A67" s="105"/>
      <c r="B67" s="139" t="s">
        <v>39</v>
      </c>
      <c r="C67" s="139" t="s">
        <v>39</v>
      </c>
      <c r="D67" s="139" t="s">
        <v>39</v>
      </c>
      <c r="E67" s="139" t="s">
        <v>39</v>
      </c>
      <c r="F67" s="139" t="s">
        <v>39</v>
      </c>
      <c r="G67" s="139" t="s">
        <v>39</v>
      </c>
      <c r="H67" s="139" t="s">
        <v>39</v>
      </c>
      <c r="I67" s="139" t="s">
        <v>39</v>
      </c>
    </row>
    <row r="68" spans="1:16" ht="15.75">
      <c r="A68" s="123" t="s">
        <v>106</v>
      </c>
      <c r="B68" s="134">
        <f>1571.07+16</f>
        <v>1587.07</v>
      </c>
      <c r="C68" s="135">
        <v>9</v>
      </c>
      <c r="D68" s="135">
        <v>2</v>
      </c>
      <c r="E68" s="135">
        <v>16</v>
      </c>
      <c r="F68" s="135">
        <v>15</v>
      </c>
      <c r="G68" s="136">
        <v>165</v>
      </c>
      <c r="H68" s="136">
        <v>2</v>
      </c>
      <c r="I68" s="116">
        <f>SUM(B68:H68)</f>
        <v>1796.07</v>
      </c>
    </row>
    <row r="69" spans="1:16" ht="15.75">
      <c r="A69" s="123" t="s">
        <v>107</v>
      </c>
      <c r="B69" s="134">
        <f>3351.07+16</f>
        <v>3367.07</v>
      </c>
      <c r="C69" s="135">
        <v>9</v>
      </c>
      <c r="D69" s="135">
        <v>2</v>
      </c>
      <c r="E69" s="135">
        <v>16</v>
      </c>
      <c r="F69" s="135">
        <v>15</v>
      </c>
      <c r="G69" s="136">
        <v>165</v>
      </c>
      <c r="H69" s="136">
        <v>2</v>
      </c>
      <c r="I69" s="116">
        <f>SUM(B69:H69)</f>
        <v>3576.07</v>
      </c>
    </row>
    <row r="70" spans="1:16" ht="15.75">
      <c r="A70" s="9"/>
      <c r="B70" s="129"/>
      <c r="C70" s="130"/>
      <c r="D70" s="130"/>
      <c r="E70" s="130"/>
      <c r="F70" s="130"/>
      <c r="G70" s="130"/>
      <c r="H70" s="130"/>
      <c r="I70" s="129"/>
      <c r="J70" s="129"/>
      <c r="K70" s="126"/>
      <c r="L70" s="129"/>
      <c r="M70" s="130"/>
      <c r="N70" s="130"/>
      <c r="O70" s="129"/>
      <c r="P70" s="127"/>
    </row>
    <row r="71" spans="1:16" ht="15.75">
      <c r="B71" s="129"/>
      <c r="C71" s="130"/>
      <c r="D71" s="130"/>
      <c r="E71" s="130"/>
      <c r="F71" s="130"/>
      <c r="G71" s="130"/>
      <c r="H71" s="130"/>
      <c r="I71" s="129"/>
      <c r="J71" s="129"/>
      <c r="K71" s="126"/>
      <c r="L71" s="129"/>
      <c r="M71" s="130"/>
      <c r="N71" s="130"/>
      <c r="O71" s="129"/>
      <c r="P71" s="127"/>
    </row>
    <row r="72" spans="1:16" ht="15.75">
      <c r="B72" s="129"/>
      <c r="C72" s="130"/>
      <c r="D72" s="130"/>
      <c r="E72" s="130"/>
      <c r="F72" s="130"/>
      <c r="G72" s="130"/>
      <c r="H72" s="130"/>
      <c r="I72" s="129"/>
      <c r="J72" s="129"/>
      <c r="K72" s="126"/>
      <c r="L72" s="129"/>
      <c r="M72" s="130"/>
      <c r="N72" s="130"/>
      <c r="O72" s="129"/>
      <c r="P72" s="127"/>
    </row>
    <row r="73" spans="1:16" ht="15.75">
      <c r="B73" s="129"/>
      <c r="C73" s="130"/>
      <c r="D73" s="130"/>
      <c r="E73" s="130"/>
      <c r="F73" s="130"/>
      <c r="G73" s="130"/>
      <c r="H73" s="130"/>
      <c r="I73" s="129"/>
      <c r="J73" s="129"/>
      <c r="K73" s="126"/>
      <c r="L73" s="129"/>
      <c r="M73" s="130"/>
      <c r="N73" s="130"/>
      <c r="O73" s="129"/>
      <c r="P73" s="127"/>
    </row>
    <row r="74" spans="1:16" ht="20.25">
      <c r="A74" s="299" t="s">
        <v>101</v>
      </c>
      <c r="B74" s="299"/>
      <c r="C74" s="299"/>
      <c r="D74" s="299"/>
      <c r="E74" s="299"/>
      <c r="F74" s="299"/>
      <c r="G74" s="299"/>
      <c r="H74" s="299"/>
      <c r="I74" s="299"/>
      <c r="J74" s="68"/>
      <c r="K74" s="68"/>
      <c r="L74" s="68"/>
      <c r="M74" s="68"/>
      <c r="N74" s="68"/>
      <c r="O74" s="68"/>
      <c r="P74" s="68"/>
    </row>
    <row r="75" spans="1:16" ht="20.25">
      <c r="A75" s="316" t="s">
        <v>126</v>
      </c>
      <c r="B75" s="316"/>
      <c r="C75" s="316"/>
      <c r="D75" s="316"/>
      <c r="E75" s="316"/>
      <c r="F75" s="316"/>
      <c r="G75" s="316"/>
      <c r="H75" s="316"/>
      <c r="I75" s="316"/>
      <c r="J75" s="154"/>
      <c r="K75" s="154"/>
      <c r="L75" s="104"/>
      <c r="M75" s="104"/>
      <c r="N75" s="104"/>
      <c r="O75" s="104"/>
      <c r="P75" s="104"/>
    </row>
    <row r="76" spans="1:16" ht="18.75">
      <c r="A76" s="105"/>
      <c r="B76" s="315" t="s">
        <v>103</v>
      </c>
      <c r="C76" s="315"/>
      <c r="D76" s="315"/>
      <c r="E76" s="315"/>
      <c r="F76" s="315"/>
      <c r="G76" s="315"/>
      <c r="H76" s="315"/>
      <c r="I76" s="315"/>
      <c r="J76" s="151"/>
      <c r="K76" s="151"/>
    </row>
    <row r="77" spans="1:16" ht="30">
      <c r="A77" s="106" t="s">
        <v>2</v>
      </c>
      <c r="B77" s="107" t="s">
        <v>3</v>
      </c>
      <c r="C77" s="108" t="s">
        <v>4</v>
      </c>
      <c r="D77" s="109" t="s">
        <v>104</v>
      </c>
      <c r="E77" s="4" t="s">
        <v>7</v>
      </c>
      <c r="F77" s="4" t="s">
        <v>6</v>
      </c>
      <c r="G77" s="111" t="s">
        <v>105</v>
      </c>
      <c r="H77" s="4" t="s">
        <v>9</v>
      </c>
      <c r="I77" s="108" t="s">
        <v>10</v>
      </c>
    </row>
    <row r="78" spans="1:16" ht="15.75">
      <c r="A78" s="105"/>
      <c r="B78" s="139" t="s">
        <v>39</v>
      </c>
      <c r="C78" s="139" t="s">
        <v>39</v>
      </c>
      <c r="D78" s="139" t="s">
        <v>39</v>
      </c>
      <c r="E78" s="139" t="s">
        <v>39</v>
      </c>
      <c r="F78" s="139" t="s">
        <v>39</v>
      </c>
      <c r="G78" s="139" t="s">
        <v>39</v>
      </c>
      <c r="H78" s="139" t="s">
        <v>39</v>
      </c>
      <c r="I78" s="139" t="s">
        <v>39</v>
      </c>
    </row>
    <row r="79" spans="1:16" ht="15.75">
      <c r="A79" s="123" t="s">
        <v>109</v>
      </c>
      <c r="B79" s="134">
        <f>1851+16</f>
        <v>1867</v>
      </c>
      <c r="C79" s="135">
        <v>9</v>
      </c>
      <c r="D79" s="135">
        <v>2</v>
      </c>
      <c r="E79" s="135">
        <v>16</v>
      </c>
      <c r="F79" s="135">
        <v>15</v>
      </c>
      <c r="G79" s="136">
        <v>165</v>
      </c>
      <c r="H79" s="136">
        <v>2</v>
      </c>
      <c r="I79" s="116">
        <f>SUM(B79:H79)</f>
        <v>2076</v>
      </c>
    </row>
    <row r="80" spans="1:16" ht="15.75">
      <c r="B80" s="129"/>
      <c r="C80" s="130"/>
      <c r="D80" s="130"/>
      <c r="E80" s="130"/>
      <c r="F80" s="130"/>
      <c r="G80" s="130"/>
      <c r="H80" s="130"/>
      <c r="I80" s="129"/>
      <c r="J80" s="129"/>
      <c r="K80" s="126"/>
      <c r="L80" s="129"/>
      <c r="M80" s="130"/>
      <c r="N80" s="130"/>
      <c r="O80" s="129"/>
      <c r="P80" s="127"/>
    </row>
    <row r="83" spans="1:16" ht="15.75">
      <c r="A83" s="9"/>
      <c r="B83" s="129"/>
      <c r="C83" s="130"/>
      <c r="D83" s="130"/>
      <c r="E83" s="130"/>
      <c r="F83" s="130"/>
      <c r="G83" s="130"/>
      <c r="H83" s="130"/>
      <c r="I83" s="129"/>
      <c r="J83" s="129"/>
      <c r="K83" s="126"/>
      <c r="L83" s="129"/>
      <c r="M83" s="130"/>
      <c r="N83" s="130"/>
      <c r="O83" s="129"/>
      <c r="P83" s="127"/>
    </row>
    <row r="84" spans="1:16" ht="15.75">
      <c r="A84" s="9"/>
      <c r="B84" s="129"/>
      <c r="C84" s="130"/>
      <c r="D84" s="130"/>
      <c r="E84" s="130"/>
      <c r="F84" s="130"/>
      <c r="G84" s="130"/>
      <c r="H84" s="130"/>
      <c r="I84" s="129"/>
      <c r="J84" s="129"/>
      <c r="K84" s="126"/>
      <c r="L84" s="129"/>
      <c r="M84" s="130"/>
      <c r="N84" s="130"/>
      <c r="O84" s="129"/>
      <c r="P84" s="127"/>
    </row>
    <row r="85" spans="1:16" ht="20.25">
      <c r="A85" s="299" t="s">
        <v>101</v>
      </c>
      <c r="B85" s="299"/>
      <c r="C85" s="299"/>
      <c r="D85" s="299"/>
      <c r="E85" s="299"/>
      <c r="F85" s="299"/>
      <c r="G85" s="299"/>
      <c r="H85" s="299"/>
      <c r="I85" s="299"/>
      <c r="J85" s="68"/>
      <c r="K85" s="68"/>
      <c r="L85" s="68"/>
      <c r="M85" s="68"/>
      <c r="N85" s="68"/>
      <c r="O85" s="68"/>
      <c r="P85" s="68"/>
    </row>
    <row r="86" spans="1:16" ht="20.25">
      <c r="A86" s="316" t="s">
        <v>127</v>
      </c>
      <c r="B86" s="316"/>
      <c r="C86" s="316"/>
      <c r="D86" s="316"/>
      <c r="E86" s="316"/>
      <c r="F86" s="316"/>
      <c r="G86" s="316"/>
      <c r="H86" s="316"/>
      <c r="I86" s="316"/>
      <c r="J86" s="154"/>
      <c r="K86" s="154"/>
      <c r="L86" s="104"/>
      <c r="M86" s="104"/>
      <c r="N86" s="104"/>
      <c r="O86" s="104"/>
      <c r="P86" s="104"/>
    </row>
    <row r="87" spans="1:16" ht="18.75">
      <c r="A87" s="105"/>
      <c r="B87" s="315" t="s">
        <v>103</v>
      </c>
      <c r="C87" s="315"/>
      <c r="D87" s="315"/>
      <c r="E87" s="315"/>
      <c r="F87" s="315"/>
      <c r="G87" s="315"/>
      <c r="H87" s="315"/>
      <c r="I87" s="315"/>
      <c r="J87" s="151"/>
      <c r="K87" s="151"/>
    </row>
    <row r="88" spans="1:16" ht="31.5">
      <c r="A88" s="106" t="s">
        <v>2</v>
      </c>
      <c r="B88" s="140" t="s">
        <v>3</v>
      </c>
      <c r="C88" s="141" t="s">
        <v>4</v>
      </c>
      <c r="D88" s="142" t="s">
        <v>104</v>
      </c>
      <c r="E88" s="4" t="s">
        <v>7</v>
      </c>
      <c r="F88" s="4" t="s">
        <v>6</v>
      </c>
      <c r="G88" s="111" t="s">
        <v>105</v>
      </c>
      <c r="H88" s="4" t="s">
        <v>9</v>
      </c>
      <c r="I88" s="108" t="s">
        <v>10</v>
      </c>
    </row>
    <row r="89" spans="1:16" ht="15.75">
      <c r="A89" s="105"/>
      <c r="B89" s="139" t="s">
        <v>39</v>
      </c>
      <c r="C89" s="139" t="s">
        <v>39</v>
      </c>
      <c r="D89" s="139" t="s">
        <v>39</v>
      </c>
      <c r="E89" s="139" t="s">
        <v>39</v>
      </c>
      <c r="F89" s="139" t="s">
        <v>39</v>
      </c>
      <c r="G89" s="139" t="s">
        <v>39</v>
      </c>
      <c r="H89" s="139" t="s">
        <v>39</v>
      </c>
      <c r="I89" s="139" t="s">
        <v>39</v>
      </c>
    </row>
    <row r="90" spans="1:16" ht="15.75">
      <c r="A90" s="123" t="s">
        <v>111</v>
      </c>
      <c r="B90" s="134">
        <f>2512+16</f>
        <v>2528</v>
      </c>
      <c r="C90" s="135">
        <v>9</v>
      </c>
      <c r="D90" s="135">
        <v>2</v>
      </c>
      <c r="E90" s="135">
        <v>16</v>
      </c>
      <c r="F90" s="135">
        <v>15</v>
      </c>
      <c r="G90" s="136">
        <v>153</v>
      </c>
      <c r="H90" s="136">
        <v>2</v>
      </c>
      <c r="I90" s="116">
        <f t="shared" ref="I90:I96" si="2">SUM(B90:H90)</f>
        <v>2725</v>
      </c>
    </row>
    <row r="91" spans="1:16" ht="15.75">
      <c r="A91" s="123" t="s">
        <v>112</v>
      </c>
      <c r="B91" s="134">
        <f>2512+16</f>
        <v>2528</v>
      </c>
      <c r="C91" s="135">
        <v>9</v>
      </c>
      <c r="D91" s="135">
        <v>2</v>
      </c>
      <c r="E91" s="135">
        <v>16</v>
      </c>
      <c r="F91" s="135">
        <v>15</v>
      </c>
      <c r="G91" s="136">
        <v>153</v>
      </c>
      <c r="H91" s="136">
        <v>2</v>
      </c>
      <c r="I91" s="116">
        <f t="shared" si="2"/>
        <v>2725</v>
      </c>
    </row>
    <row r="92" spans="1:16" ht="15.75">
      <c r="A92" s="123" t="s">
        <v>113</v>
      </c>
      <c r="B92" s="134">
        <f>2257.62+16</f>
        <v>2273.62</v>
      </c>
      <c r="C92" s="135">
        <v>9</v>
      </c>
      <c r="D92" s="135">
        <v>2</v>
      </c>
      <c r="E92" s="135">
        <v>16</v>
      </c>
      <c r="F92" s="135">
        <v>15</v>
      </c>
      <c r="G92" s="136">
        <v>153</v>
      </c>
      <c r="H92" s="136">
        <v>2</v>
      </c>
      <c r="I92" s="116">
        <f t="shared" si="2"/>
        <v>2470.62</v>
      </c>
    </row>
    <row r="93" spans="1:16" ht="15.75">
      <c r="A93" s="123" t="s">
        <v>114</v>
      </c>
      <c r="B93" s="134">
        <f>2512+16</f>
        <v>2528</v>
      </c>
      <c r="C93" s="135">
        <v>9</v>
      </c>
      <c r="D93" s="135">
        <v>2</v>
      </c>
      <c r="E93" s="135">
        <v>16</v>
      </c>
      <c r="F93" s="135">
        <v>15</v>
      </c>
      <c r="G93" s="136">
        <v>153</v>
      </c>
      <c r="H93" s="136">
        <v>2</v>
      </c>
      <c r="I93" s="116">
        <f t="shared" si="2"/>
        <v>2725</v>
      </c>
    </row>
    <row r="94" spans="1:16" ht="15.75">
      <c r="A94" s="123" t="s">
        <v>115</v>
      </c>
      <c r="B94" s="134">
        <f>2257.62+16</f>
        <v>2273.62</v>
      </c>
      <c r="C94" s="135">
        <v>9</v>
      </c>
      <c r="D94" s="135">
        <v>2</v>
      </c>
      <c r="E94" s="135">
        <v>16</v>
      </c>
      <c r="F94" s="135">
        <v>15</v>
      </c>
      <c r="G94" s="136">
        <v>153</v>
      </c>
      <c r="H94" s="136">
        <v>2</v>
      </c>
      <c r="I94" s="116">
        <f t="shared" si="2"/>
        <v>2470.62</v>
      </c>
    </row>
    <row r="95" spans="1:16" ht="15.75">
      <c r="A95" s="123" t="s">
        <v>116</v>
      </c>
      <c r="B95" s="134">
        <f>2257.62+16</f>
        <v>2273.62</v>
      </c>
      <c r="C95" s="135">
        <v>9</v>
      </c>
      <c r="D95" s="135">
        <v>2</v>
      </c>
      <c r="E95" s="135">
        <v>16</v>
      </c>
      <c r="F95" s="135">
        <v>15</v>
      </c>
      <c r="G95" s="136">
        <v>153</v>
      </c>
      <c r="H95" s="136">
        <v>2</v>
      </c>
      <c r="I95" s="116">
        <f t="shared" si="2"/>
        <v>2470.62</v>
      </c>
    </row>
    <row r="96" spans="1:16" ht="15.75">
      <c r="A96" s="123" t="s">
        <v>117</v>
      </c>
      <c r="B96" s="134">
        <f>2257.62+16</f>
        <v>2273.62</v>
      </c>
      <c r="C96" s="135">
        <v>9</v>
      </c>
      <c r="D96" s="135">
        <v>2</v>
      </c>
      <c r="E96" s="135">
        <v>16</v>
      </c>
      <c r="F96" s="135">
        <v>15</v>
      </c>
      <c r="G96" s="136">
        <v>153</v>
      </c>
      <c r="H96" s="136">
        <v>2</v>
      </c>
      <c r="I96" s="116">
        <f t="shared" si="2"/>
        <v>2470.62</v>
      </c>
    </row>
    <row r="97" spans="1:16" ht="15.75">
      <c r="A97" s="9"/>
      <c r="B97" s="137"/>
      <c r="C97" s="138"/>
      <c r="D97" s="138"/>
      <c r="E97" s="138"/>
      <c r="F97" s="138"/>
      <c r="G97" s="138"/>
      <c r="H97" s="138"/>
      <c r="I97" s="137"/>
      <c r="J97" s="137"/>
      <c r="K97" s="126"/>
      <c r="L97" s="137"/>
      <c r="M97" s="138"/>
      <c r="N97" s="138"/>
      <c r="O97" s="137"/>
      <c r="P97" s="127"/>
    </row>
    <row r="98" spans="1:16" ht="15.75">
      <c r="A98" s="9"/>
      <c r="B98" s="129"/>
      <c r="C98" s="130"/>
      <c r="D98" s="130"/>
      <c r="E98" s="130"/>
      <c r="F98" s="130"/>
      <c r="G98" s="130"/>
      <c r="H98" s="130"/>
      <c r="I98" s="129"/>
      <c r="J98" s="129"/>
      <c r="K98" s="126"/>
      <c r="L98" s="129"/>
      <c r="M98" s="130"/>
      <c r="N98" s="130"/>
      <c r="O98" s="129"/>
      <c r="P98" s="127"/>
    </row>
    <row r="99" spans="1:16" ht="15.75">
      <c r="A99" s="9"/>
      <c r="B99" s="129"/>
      <c r="C99" s="130"/>
      <c r="D99" s="130"/>
      <c r="E99" s="130"/>
      <c r="F99" s="130"/>
      <c r="G99" s="130"/>
      <c r="H99" s="130"/>
      <c r="I99" s="129"/>
      <c r="J99" s="129"/>
      <c r="K99" s="126"/>
      <c r="L99" s="129"/>
      <c r="M99" s="130"/>
      <c r="N99" s="130"/>
      <c r="O99" s="129"/>
      <c r="P99" s="127"/>
    </row>
    <row r="100" spans="1:16" ht="15.75">
      <c r="A100" s="9"/>
      <c r="B100" s="129"/>
      <c r="C100" s="130"/>
      <c r="D100" s="130"/>
      <c r="E100" s="130"/>
      <c r="F100" s="130"/>
      <c r="G100" s="130"/>
      <c r="H100" s="130"/>
      <c r="I100" s="129"/>
      <c r="J100" s="129"/>
      <c r="K100" s="126"/>
      <c r="L100" s="129"/>
      <c r="M100" s="130"/>
      <c r="N100" s="130"/>
      <c r="O100" s="129"/>
      <c r="P100" s="127"/>
    </row>
    <row r="102" spans="1:16" ht="20.25">
      <c r="A102" s="303" t="s">
        <v>128</v>
      </c>
      <c r="B102" s="303"/>
      <c r="C102" s="303"/>
      <c r="D102" s="303"/>
      <c r="E102" s="303"/>
      <c r="F102" s="303"/>
      <c r="G102" s="303"/>
      <c r="H102" s="303"/>
      <c r="I102" s="303"/>
      <c r="J102" s="155"/>
      <c r="K102" s="155"/>
      <c r="L102" s="68"/>
      <c r="M102" s="68"/>
      <c r="N102" s="68"/>
      <c r="O102" s="68"/>
      <c r="P102" s="68"/>
    </row>
    <row r="103" spans="1:16" ht="20.25">
      <c r="A103" s="317" t="s">
        <v>129</v>
      </c>
      <c r="B103" s="317"/>
      <c r="C103" s="317"/>
      <c r="D103" s="317"/>
      <c r="E103" s="317"/>
      <c r="F103" s="317"/>
      <c r="G103" s="317"/>
      <c r="H103" s="317"/>
      <c r="I103" s="317"/>
      <c r="J103" s="156"/>
      <c r="K103" s="156"/>
      <c r="L103" s="104"/>
      <c r="M103" s="104"/>
      <c r="N103" s="104"/>
      <c r="O103" s="104"/>
      <c r="P103" s="104"/>
    </row>
    <row r="104" spans="1:16" ht="18.75">
      <c r="A104" s="105"/>
      <c r="B104" s="315" t="s">
        <v>103</v>
      </c>
      <c r="C104" s="315"/>
      <c r="D104" s="315"/>
      <c r="E104" s="315"/>
      <c r="F104" s="315"/>
      <c r="G104" s="315"/>
      <c r="H104" s="315"/>
      <c r="I104" s="315"/>
      <c r="J104" s="151"/>
      <c r="K104" s="151"/>
    </row>
    <row r="105" spans="1:16" ht="31.5">
      <c r="A105" s="106" t="s">
        <v>2</v>
      </c>
      <c r="B105" s="140" t="s">
        <v>3</v>
      </c>
      <c r="C105" s="141" t="s">
        <v>4</v>
      </c>
      <c r="D105" s="142" t="s">
        <v>104</v>
      </c>
      <c r="E105" s="4" t="s">
        <v>7</v>
      </c>
      <c r="F105" s="4" t="s">
        <v>6</v>
      </c>
      <c r="G105" s="111" t="s">
        <v>105</v>
      </c>
      <c r="H105" s="4" t="s">
        <v>9</v>
      </c>
      <c r="I105" s="108" t="s">
        <v>10</v>
      </c>
    </row>
    <row r="106" spans="1:16" ht="15.75">
      <c r="A106" s="105"/>
      <c r="B106" s="7" t="s">
        <v>39</v>
      </c>
      <c r="C106" s="7" t="s">
        <v>39</v>
      </c>
      <c r="D106" s="7" t="s">
        <v>39</v>
      </c>
      <c r="E106" s="139" t="s">
        <v>39</v>
      </c>
      <c r="F106" s="139" t="s">
        <v>39</v>
      </c>
      <c r="G106" s="7" t="s">
        <v>39</v>
      </c>
      <c r="H106" s="7" t="s">
        <v>39</v>
      </c>
      <c r="I106" s="139" t="s">
        <v>39</v>
      </c>
    </row>
    <row r="107" spans="1:16" ht="15.75">
      <c r="A107" s="123" t="s">
        <v>119</v>
      </c>
      <c r="B107" s="143">
        <f>2587.62+16</f>
        <v>2603.62</v>
      </c>
      <c r="C107" s="135">
        <v>9</v>
      </c>
      <c r="D107" s="135">
        <v>2</v>
      </c>
      <c r="E107" s="114">
        <v>16</v>
      </c>
      <c r="F107" s="114">
        <v>15</v>
      </c>
      <c r="G107" s="115">
        <v>153</v>
      </c>
      <c r="H107" s="115">
        <v>2</v>
      </c>
      <c r="I107" s="116">
        <f>SUM(B107:H107)</f>
        <v>2800.62</v>
      </c>
    </row>
    <row r="108" spans="1:16" ht="15.75">
      <c r="A108" s="123" t="s">
        <v>120</v>
      </c>
      <c r="B108" s="143">
        <f>2587.62+16</f>
        <v>2603.62</v>
      </c>
      <c r="C108" s="135">
        <v>9</v>
      </c>
      <c r="D108" s="135">
        <v>2</v>
      </c>
      <c r="E108" s="114">
        <v>16</v>
      </c>
      <c r="F108" s="114">
        <v>15</v>
      </c>
      <c r="G108" s="115">
        <v>153</v>
      </c>
      <c r="H108" s="115">
        <v>2</v>
      </c>
      <c r="I108" s="116">
        <f>SUM(B108:H108)</f>
        <v>2800.62</v>
      </c>
    </row>
    <row r="109" spans="1:16" ht="15.75">
      <c r="A109" s="123" t="s">
        <v>121</v>
      </c>
      <c r="B109" s="143">
        <f>1524+16</f>
        <v>1540</v>
      </c>
      <c r="C109" s="135">
        <v>9</v>
      </c>
      <c r="D109" s="135">
        <v>2</v>
      </c>
      <c r="E109" s="114">
        <v>16</v>
      </c>
      <c r="F109" s="114">
        <v>15</v>
      </c>
      <c r="G109" s="115">
        <f>'[1]SAS 2016-17'!J35</f>
        <v>0</v>
      </c>
      <c r="H109" s="115">
        <v>2</v>
      </c>
      <c r="I109" s="116">
        <f>SUM(B109:H109)</f>
        <v>1584</v>
      </c>
    </row>
    <row r="110" spans="1:16" ht="15.75">
      <c r="A110" s="123" t="s">
        <v>122</v>
      </c>
      <c r="B110" s="143">
        <f>1524+16</f>
        <v>1540</v>
      </c>
      <c r="C110" s="135">
        <v>9</v>
      </c>
      <c r="D110" s="135">
        <v>2</v>
      </c>
      <c r="E110" s="114">
        <v>16</v>
      </c>
      <c r="F110" s="114">
        <v>15</v>
      </c>
      <c r="G110" s="115">
        <f>'[1]SAS 2016-17'!J36</f>
        <v>0</v>
      </c>
      <c r="H110" s="115">
        <v>2</v>
      </c>
      <c r="I110" s="116">
        <f>SUM(B110:H110)</f>
        <v>1584</v>
      </c>
    </row>
    <row r="115" spans="1:16" ht="20.25">
      <c r="A115" s="303" t="s">
        <v>130</v>
      </c>
      <c r="B115" s="303"/>
      <c r="C115" s="303"/>
      <c r="D115" s="303"/>
      <c r="E115" s="303"/>
      <c r="F115" s="303"/>
      <c r="G115" s="303"/>
      <c r="H115" s="303"/>
      <c r="I115" s="303"/>
      <c r="J115" s="155"/>
      <c r="K115" s="155"/>
      <c r="L115" s="68"/>
      <c r="M115" s="68"/>
      <c r="N115" s="68"/>
      <c r="O115" s="68"/>
      <c r="P115" s="68"/>
    </row>
    <row r="116" spans="1:16" ht="20.25">
      <c r="A116" s="319" t="s">
        <v>131</v>
      </c>
      <c r="B116" s="319"/>
      <c r="C116" s="319"/>
      <c r="D116" s="319"/>
      <c r="E116" s="319"/>
      <c r="F116" s="319"/>
      <c r="G116" s="319"/>
      <c r="H116" s="319"/>
      <c r="I116" s="319"/>
      <c r="J116" s="153"/>
      <c r="K116" s="153"/>
      <c r="L116" s="104"/>
      <c r="M116" s="104"/>
      <c r="N116" s="104"/>
      <c r="O116" s="104"/>
      <c r="P116" s="104"/>
    </row>
    <row r="117" spans="1:16" ht="18.75">
      <c r="A117" s="105"/>
      <c r="B117" s="315" t="s">
        <v>103</v>
      </c>
      <c r="C117" s="315"/>
      <c r="D117" s="315"/>
      <c r="E117" s="315"/>
      <c r="F117" s="315"/>
      <c r="G117" s="315"/>
      <c r="H117" s="315"/>
      <c r="I117" s="315"/>
      <c r="J117" s="151"/>
      <c r="K117" s="151"/>
    </row>
    <row r="118" spans="1:16" ht="31.5">
      <c r="A118" s="106" t="s">
        <v>2</v>
      </c>
      <c r="B118" s="140" t="s">
        <v>3</v>
      </c>
      <c r="C118" s="141" t="s">
        <v>4</v>
      </c>
      <c r="D118" s="142" t="s">
        <v>104</v>
      </c>
      <c r="E118" s="4" t="s">
        <v>7</v>
      </c>
      <c r="F118" s="4" t="s">
        <v>6</v>
      </c>
      <c r="G118" s="111" t="s">
        <v>105</v>
      </c>
      <c r="H118" s="4" t="s">
        <v>9</v>
      </c>
      <c r="I118" s="108" t="s">
        <v>10</v>
      </c>
    </row>
    <row r="119" spans="1:16" ht="15.75">
      <c r="A119" s="105"/>
      <c r="B119" s="7" t="s">
        <v>39</v>
      </c>
      <c r="C119" s="7" t="s">
        <v>39</v>
      </c>
      <c r="D119" s="7" t="s">
        <v>39</v>
      </c>
      <c r="E119" s="139" t="s">
        <v>39</v>
      </c>
      <c r="F119" s="139" t="s">
        <v>39</v>
      </c>
      <c r="G119" s="7" t="s">
        <v>39</v>
      </c>
      <c r="H119" s="7" t="s">
        <v>39</v>
      </c>
      <c r="I119" s="139" t="s">
        <v>39</v>
      </c>
    </row>
    <row r="120" spans="1:16" ht="15.75">
      <c r="A120" s="105" t="s">
        <v>124</v>
      </c>
      <c r="B120" s="113">
        <f>3915+16</f>
        <v>3931</v>
      </c>
      <c r="C120" s="135">
        <v>9</v>
      </c>
      <c r="D120" s="135">
        <v>2</v>
      </c>
      <c r="E120" s="114">
        <v>16</v>
      </c>
      <c r="F120" s="114">
        <v>15</v>
      </c>
      <c r="G120" s="114">
        <v>160</v>
      </c>
      <c r="H120" s="114">
        <v>2</v>
      </c>
      <c r="I120" s="116">
        <f>SUM(B120:H120)</f>
        <v>4135</v>
      </c>
    </row>
  </sheetData>
  <mergeCells count="31">
    <mergeCell ref="A85:I85"/>
    <mergeCell ref="A115:I115"/>
    <mergeCell ref="A116:I116"/>
    <mergeCell ref="L53:P53"/>
    <mergeCell ref="A51:I51"/>
    <mergeCell ref="A52:I52"/>
    <mergeCell ref="B53:I53"/>
    <mergeCell ref="A63:I63"/>
    <mergeCell ref="A64:I64"/>
    <mergeCell ref="B65:I65"/>
    <mergeCell ref="A74:I74"/>
    <mergeCell ref="A75:I75"/>
    <mergeCell ref="B76:I76"/>
    <mergeCell ref="B3:I3"/>
    <mergeCell ref="B14:I14"/>
    <mergeCell ref="B24:I24"/>
    <mergeCell ref="B39:I39"/>
    <mergeCell ref="A1:I1"/>
    <mergeCell ref="A2:I2"/>
    <mergeCell ref="A12:I12"/>
    <mergeCell ref="A13:I13"/>
    <mergeCell ref="A22:I22"/>
    <mergeCell ref="A23:I23"/>
    <mergeCell ref="A37:I37"/>
    <mergeCell ref="A38:I38"/>
    <mergeCell ref="B117:I117"/>
    <mergeCell ref="A86:I86"/>
    <mergeCell ref="B87:I87"/>
    <mergeCell ref="A102:I102"/>
    <mergeCell ref="A103:I103"/>
    <mergeCell ref="B104:I10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83908-A4DD-47D8-9C67-63DE76156E31}">
  <dimension ref="A1:O131"/>
  <sheetViews>
    <sheetView workbookViewId="0">
      <selection sqref="A1:I1"/>
    </sheetView>
  </sheetViews>
  <sheetFormatPr defaultRowHeight="15"/>
  <cols>
    <col min="1" max="1" width="34.5703125" customWidth="1"/>
    <col min="2" max="2" width="10.140625" customWidth="1"/>
    <col min="3" max="3" width="7.85546875" customWidth="1"/>
    <col min="4" max="4" width="6.7109375" customWidth="1"/>
    <col min="5" max="5" width="14.42578125" customWidth="1"/>
    <col min="6" max="6" width="13.7109375" customWidth="1"/>
    <col min="7" max="7" width="12.28515625" customWidth="1"/>
    <col min="8" max="8" width="12.140625" customWidth="1"/>
    <col min="9" max="9" width="10.5703125" customWidth="1"/>
    <col min="10" max="10" width="13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  <col min="16" max="16" width="9.5703125" bestFit="1" customWidth="1"/>
  </cols>
  <sheetData>
    <row r="1" spans="1:15" ht="20.25">
      <c r="A1" s="299" t="s">
        <v>130</v>
      </c>
      <c r="B1" s="299"/>
      <c r="C1" s="299"/>
      <c r="D1" s="299"/>
      <c r="E1" s="299"/>
      <c r="F1" s="299"/>
      <c r="G1" s="299"/>
      <c r="H1" s="299"/>
      <c r="I1" s="299"/>
      <c r="J1" s="56"/>
      <c r="K1" s="68"/>
      <c r="L1" s="68"/>
      <c r="M1" s="68"/>
      <c r="N1" s="68"/>
      <c r="O1" s="68"/>
    </row>
    <row r="2" spans="1:15" ht="20.25">
      <c r="A2" s="317" t="s">
        <v>102</v>
      </c>
      <c r="B2" s="325"/>
      <c r="C2" s="325"/>
      <c r="D2" s="325"/>
      <c r="E2" s="325"/>
      <c r="F2" s="325"/>
      <c r="G2" s="325"/>
      <c r="H2" s="325"/>
      <c r="I2" s="325"/>
      <c r="J2" s="157"/>
      <c r="K2" s="104"/>
      <c r="L2" s="104"/>
      <c r="M2" s="104"/>
      <c r="N2" s="104"/>
      <c r="O2" s="104"/>
    </row>
    <row r="3" spans="1:15" ht="18.75">
      <c r="A3" s="105"/>
      <c r="B3" s="321" t="s">
        <v>97</v>
      </c>
      <c r="C3" s="322"/>
      <c r="D3" s="322"/>
      <c r="E3" s="322"/>
      <c r="F3" s="322"/>
      <c r="G3" s="322"/>
      <c r="H3" s="322"/>
      <c r="I3" s="323"/>
      <c r="J3" s="173"/>
      <c r="K3" s="151"/>
    </row>
    <row r="4" spans="1:15" ht="36.75">
      <c r="A4" s="106" t="s">
        <v>2</v>
      </c>
      <c r="B4" s="107" t="s">
        <v>3</v>
      </c>
      <c r="C4" s="108" t="s">
        <v>4</v>
      </c>
      <c r="D4" s="109" t="s">
        <v>104</v>
      </c>
      <c r="E4" s="158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5">
      <c r="A6" s="112" t="s">
        <v>106</v>
      </c>
      <c r="B6" s="128">
        <f>(3130*1.03)+100</f>
        <v>3323.9</v>
      </c>
      <c r="C6" s="114">
        <v>80</v>
      </c>
      <c r="D6" s="114">
        <v>20</v>
      </c>
      <c r="E6" s="114">
        <v>0</v>
      </c>
      <c r="F6" s="114">
        <v>120</v>
      </c>
      <c r="G6" s="115">
        <v>2000</v>
      </c>
      <c r="H6" s="115">
        <v>13</v>
      </c>
      <c r="I6" s="116">
        <f>SUM(B6:H6)</f>
        <v>5556.9</v>
      </c>
    </row>
    <row r="7" spans="1:15">
      <c r="A7" s="112" t="s">
        <v>107</v>
      </c>
      <c r="B7" s="128">
        <f>(4826*1.06)+100</f>
        <v>5215.5600000000004</v>
      </c>
      <c r="C7" s="114">
        <v>80</v>
      </c>
      <c r="D7" s="114">
        <v>20</v>
      </c>
      <c r="E7" s="115">
        <v>0</v>
      </c>
      <c r="F7" s="115">
        <v>120</v>
      </c>
      <c r="G7" s="115">
        <v>2000</v>
      </c>
      <c r="H7" s="115">
        <v>13</v>
      </c>
      <c r="I7" s="116">
        <f>SUM(B7:H7)</f>
        <v>7448.56</v>
      </c>
    </row>
    <row r="8" spans="1:15">
      <c r="K8" s="121"/>
    </row>
    <row r="9" spans="1:15">
      <c r="A9" s="43"/>
      <c r="B9" s="159"/>
      <c r="C9" s="119"/>
      <c r="D9" s="119"/>
      <c r="E9" s="119"/>
      <c r="F9" s="119"/>
      <c r="G9" s="120"/>
      <c r="H9" s="120"/>
      <c r="I9" s="121"/>
      <c r="J9" s="121"/>
    </row>
    <row r="10" spans="1:15">
      <c r="A10" s="160"/>
      <c r="M10" s="117"/>
    </row>
    <row r="11" spans="1:15">
      <c r="M11" s="117"/>
    </row>
    <row r="12" spans="1:15">
      <c r="M12" s="117"/>
    </row>
    <row r="13" spans="1:15" ht="20.25">
      <c r="A13" s="299" t="s">
        <v>130</v>
      </c>
      <c r="B13" s="299"/>
      <c r="C13" s="299"/>
      <c r="D13" s="299"/>
      <c r="E13" s="299"/>
      <c r="F13" s="299"/>
      <c r="G13" s="299"/>
      <c r="H13" s="299"/>
      <c r="I13" s="299"/>
      <c r="J13" s="56"/>
      <c r="K13" s="68"/>
      <c r="L13" s="68"/>
      <c r="M13" s="68"/>
      <c r="N13" s="68"/>
      <c r="O13" s="68"/>
    </row>
    <row r="14" spans="1:15" ht="20.25">
      <c r="A14" s="318" t="s">
        <v>108</v>
      </c>
      <c r="B14" s="318"/>
      <c r="C14" s="318"/>
      <c r="D14" s="318"/>
      <c r="E14" s="318"/>
      <c r="F14" s="318"/>
      <c r="G14" s="318"/>
      <c r="H14" s="318"/>
      <c r="I14" s="318"/>
      <c r="J14" s="326"/>
      <c r="K14" s="326"/>
      <c r="L14" s="104"/>
      <c r="M14" s="104"/>
      <c r="N14" s="104"/>
      <c r="O14" s="104"/>
    </row>
    <row r="15" spans="1:15" ht="18.75">
      <c r="A15" s="105"/>
      <c r="B15" s="321" t="s">
        <v>97</v>
      </c>
      <c r="C15" s="322"/>
      <c r="D15" s="322"/>
      <c r="E15" s="322"/>
      <c r="F15" s="322"/>
      <c r="G15" s="322"/>
      <c r="H15" s="322"/>
      <c r="I15" s="323"/>
      <c r="J15" s="151"/>
      <c r="K15" s="151"/>
    </row>
    <row r="16" spans="1:15" ht="36.75">
      <c r="A16" s="106" t="s">
        <v>2</v>
      </c>
      <c r="B16" s="107" t="s">
        <v>3</v>
      </c>
      <c r="C16" s="108" t="s">
        <v>4</v>
      </c>
      <c r="D16" s="109" t="s">
        <v>104</v>
      </c>
      <c r="E16" s="158" t="s">
        <v>7</v>
      </c>
      <c r="F16" s="4" t="s">
        <v>6</v>
      </c>
      <c r="G16" s="111" t="s">
        <v>105</v>
      </c>
      <c r="H16" s="4" t="s">
        <v>9</v>
      </c>
      <c r="I16" s="108" t="s">
        <v>10</v>
      </c>
    </row>
    <row r="17" spans="1:15" ht="15.75">
      <c r="A17" s="105"/>
      <c r="B17" s="7" t="s">
        <v>12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  <c r="H17" s="7" t="s">
        <v>12</v>
      </c>
      <c r="I17" s="7" t="s">
        <v>12</v>
      </c>
    </row>
    <row r="18" spans="1:15">
      <c r="A18" s="112" t="s">
        <v>109</v>
      </c>
      <c r="B18" s="128">
        <f>(3823*1.06)+100</f>
        <v>4152.38</v>
      </c>
      <c r="C18" s="114">
        <v>80</v>
      </c>
      <c r="D18" s="114">
        <v>20</v>
      </c>
      <c r="E18" s="114">
        <v>0</v>
      </c>
      <c r="F18" s="114">
        <v>120</v>
      </c>
      <c r="G18" s="161">
        <v>2500</v>
      </c>
      <c r="H18" s="161">
        <v>13</v>
      </c>
      <c r="I18" s="116">
        <f>SUM(B18:H18)</f>
        <v>6885.38</v>
      </c>
    </row>
    <row r="19" spans="1:15" ht="30">
      <c r="A19" s="162" t="s">
        <v>132</v>
      </c>
      <c r="B19" s="163">
        <f>(3135*1.06)+100</f>
        <v>3423.1000000000004</v>
      </c>
      <c r="C19" s="114">
        <v>80</v>
      </c>
      <c r="D19" s="114">
        <v>20</v>
      </c>
      <c r="E19" s="114">
        <v>220</v>
      </c>
      <c r="F19" s="114">
        <v>120</v>
      </c>
      <c r="G19" s="115">
        <v>1500</v>
      </c>
      <c r="H19" s="161">
        <v>13</v>
      </c>
      <c r="I19" s="116">
        <f>SUM(B19:H19)</f>
        <v>5376.1</v>
      </c>
    </row>
    <row r="20" spans="1:15" ht="30">
      <c r="A20" s="162" t="s">
        <v>133</v>
      </c>
      <c r="B20" s="163">
        <f>(3135*1.06)+100</f>
        <v>3423.1000000000004</v>
      </c>
      <c r="C20" s="114">
        <v>80</v>
      </c>
      <c r="D20" s="114">
        <v>20</v>
      </c>
      <c r="E20" s="114">
        <v>220</v>
      </c>
      <c r="F20" s="114">
        <v>120</v>
      </c>
      <c r="G20" s="115">
        <v>1500</v>
      </c>
      <c r="H20" s="161">
        <v>13</v>
      </c>
      <c r="I20" s="116">
        <f>SUM(B20:H20)</f>
        <v>5376.1</v>
      </c>
    </row>
    <row r="21" spans="1:15">
      <c r="A21" s="164"/>
      <c r="B21" s="165"/>
      <c r="C21" s="119"/>
      <c r="D21" s="119"/>
      <c r="E21" s="119"/>
      <c r="F21" s="119"/>
      <c r="G21" s="119"/>
      <c r="H21" s="119"/>
      <c r="I21" s="120"/>
      <c r="J21" s="120"/>
      <c r="K21" s="121"/>
    </row>
    <row r="22" spans="1:15">
      <c r="A22" s="164"/>
      <c r="B22" s="166"/>
      <c r="C22" s="119"/>
      <c r="D22" s="119"/>
      <c r="E22" s="119"/>
      <c r="F22" s="119"/>
      <c r="G22" s="119"/>
      <c r="H22" s="119"/>
      <c r="I22" s="120"/>
      <c r="J22" s="120"/>
      <c r="K22" s="121"/>
    </row>
    <row r="23" spans="1:15">
      <c r="M23" s="117"/>
    </row>
    <row r="24" spans="1:15" ht="20.25">
      <c r="K24" s="68"/>
      <c r="L24" s="68"/>
      <c r="M24" s="68"/>
      <c r="N24" s="68"/>
      <c r="O24" s="68"/>
    </row>
    <row r="25" spans="1:15" ht="20.25">
      <c r="A25" s="299" t="s">
        <v>130</v>
      </c>
      <c r="B25" s="299"/>
      <c r="C25" s="299"/>
      <c r="D25" s="299"/>
      <c r="E25" s="299"/>
      <c r="F25" s="299"/>
      <c r="G25" s="299"/>
      <c r="H25" s="299"/>
      <c r="I25" s="299"/>
      <c r="J25" s="56"/>
      <c r="K25" s="104"/>
      <c r="L25" s="104"/>
      <c r="M25" s="104"/>
      <c r="N25" s="104"/>
      <c r="O25" s="104"/>
    </row>
    <row r="26" spans="1:15" ht="18.75">
      <c r="A26" s="318" t="s">
        <v>110</v>
      </c>
      <c r="B26" s="324"/>
      <c r="C26" s="324"/>
      <c r="D26" s="324"/>
      <c r="E26" s="324"/>
      <c r="F26" s="324"/>
      <c r="G26" s="324"/>
      <c r="H26" s="324"/>
      <c r="I26" s="324"/>
      <c r="J26" s="62"/>
    </row>
    <row r="27" spans="1:15" ht="18.75">
      <c r="A27" s="105"/>
      <c r="B27" s="315" t="s">
        <v>97</v>
      </c>
      <c r="C27" s="315"/>
      <c r="D27" s="315"/>
      <c r="E27" s="315"/>
      <c r="F27" s="315"/>
      <c r="G27" s="315"/>
      <c r="H27" s="315"/>
      <c r="I27" s="151"/>
      <c r="J27" s="151"/>
    </row>
    <row r="28" spans="1:15" ht="30">
      <c r="A28" s="106" t="s">
        <v>2</v>
      </c>
      <c r="B28" s="107" t="s">
        <v>3</v>
      </c>
      <c r="C28" s="122" t="s">
        <v>4</v>
      </c>
      <c r="D28" s="109" t="s">
        <v>104</v>
      </c>
      <c r="E28" s="111" t="s">
        <v>105</v>
      </c>
      <c r="F28" s="4" t="s">
        <v>6</v>
      </c>
      <c r="G28" s="4" t="s">
        <v>9</v>
      </c>
      <c r="H28" s="108" t="s">
        <v>10</v>
      </c>
      <c r="J28" s="120"/>
      <c r="L28" s="69"/>
    </row>
    <row r="29" spans="1:15" ht="15.75">
      <c r="A29" s="105"/>
      <c r="B29" s="7" t="s">
        <v>12</v>
      </c>
      <c r="C29" s="7" t="s">
        <v>12</v>
      </c>
      <c r="D29" s="7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J29" s="120"/>
      <c r="L29" s="69"/>
    </row>
    <row r="30" spans="1:15" ht="15.75">
      <c r="A30" s="123" t="s">
        <v>111</v>
      </c>
      <c r="B30" s="128">
        <f>(4163*1.06)+100</f>
        <v>4512.7800000000007</v>
      </c>
      <c r="C30" s="114">
        <v>80</v>
      </c>
      <c r="D30" s="114">
        <v>20</v>
      </c>
      <c r="E30" s="115">
        <f>800*1.05</f>
        <v>840</v>
      </c>
      <c r="F30" s="115">
        <v>120</v>
      </c>
      <c r="G30" s="135">
        <v>13</v>
      </c>
      <c r="H30" s="116">
        <f t="shared" ref="H30:H36" si="0">SUM(B30:G30)</f>
        <v>5585.7800000000007</v>
      </c>
      <c r="J30" s="120"/>
      <c r="L30" s="69"/>
    </row>
    <row r="31" spans="1:15" ht="15.75">
      <c r="A31" s="123" t="s">
        <v>112</v>
      </c>
      <c r="B31" s="128">
        <f>(3406*1.03)+100</f>
        <v>3608.1800000000003</v>
      </c>
      <c r="C31" s="114">
        <v>80</v>
      </c>
      <c r="D31" s="114">
        <v>20</v>
      </c>
      <c r="E31" s="115">
        <f t="shared" ref="E31:E36" si="1">800*1.05</f>
        <v>840</v>
      </c>
      <c r="F31" s="115">
        <v>120</v>
      </c>
      <c r="G31" s="135">
        <v>13</v>
      </c>
      <c r="H31" s="116">
        <f t="shared" si="0"/>
        <v>4681.18</v>
      </c>
      <c r="J31" s="120"/>
      <c r="L31" s="69"/>
    </row>
    <row r="32" spans="1:15" ht="15.75">
      <c r="A32" s="123" t="s">
        <v>113</v>
      </c>
      <c r="B32" s="128">
        <f>(3406*1.03)+100</f>
        <v>3608.1800000000003</v>
      </c>
      <c r="C32" s="114">
        <v>80</v>
      </c>
      <c r="D32" s="114">
        <v>20</v>
      </c>
      <c r="E32" s="115">
        <f t="shared" si="1"/>
        <v>840</v>
      </c>
      <c r="F32" s="115">
        <v>120</v>
      </c>
      <c r="G32" s="135">
        <v>13</v>
      </c>
      <c r="H32" s="116">
        <f t="shared" si="0"/>
        <v>4681.18</v>
      </c>
      <c r="J32" s="120"/>
      <c r="L32" s="69"/>
    </row>
    <row r="33" spans="1:15" ht="15.75">
      <c r="A33" s="123" t="s">
        <v>114</v>
      </c>
      <c r="B33" s="128">
        <f>(4163*1.03)+100</f>
        <v>4387.8900000000003</v>
      </c>
      <c r="C33" s="114">
        <v>80</v>
      </c>
      <c r="D33" s="114">
        <v>20</v>
      </c>
      <c r="E33" s="115">
        <f t="shared" si="1"/>
        <v>840</v>
      </c>
      <c r="F33" s="115">
        <v>120</v>
      </c>
      <c r="G33" s="135">
        <v>13</v>
      </c>
      <c r="H33" s="116">
        <f t="shared" si="0"/>
        <v>5460.89</v>
      </c>
      <c r="J33" s="120"/>
      <c r="L33" s="69"/>
    </row>
    <row r="34" spans="1:15" ht="15.75">
      <c r="A34" s="123" t="s">
        <v>115</v>
      </c>
      <c r="B34" s="128">
        <f>(3406*1.03)+100</f>
        <v>3608.1800000000003</v>
      </c>
      <c r="C34" s="114">
        <v>80</v>
      </c>
      <c r="D34" s="114">
        <v>20</v>
      </c>
      <c r="E34" s="115">
        <f t="shared" si="1"/>
        <v>840</v>
      </c>
      <c r="F34" s="115">
        <v>120</v>
      </c>
      <c r="G34" s="135">
        <v>13</v>
      </c>
      <c r="H34" s="116">
        <f t="shared" si="0"/>
        <v>4681.18</v>
      </c>
      <c r="J34" s="120"/>
      <c r="L34" s="69"/>
    </row>
    <row r="35" spans="1:15" ht="15.75">
      <c r="A35" s="123" t="s">
        <v>116</v>
      </c>
      <c r="B35" s="128">
        <f>(3406*1.03)+100</f>
        <v>3608.1800000000003</v>
      </c>
      <c r="C35" s="114">
        <v>80</v>
      </c>
      <c r="D35" s="114">
        <v>20</v>
      </c>
      <c r="E35" s="115">
        <f t="shared" si="1"/>
        <v>840</v>
      </c>
      <c r="F35" s="115">
        <v>120</v>
      </c>
      <c r="G35" s="135">
        <v>13</v>
      </c>
      <c r="H35" s="116">
        <f t="shared" si="0"/>
        <v>4681.18</v>
      </c>
      <c r="J35" s="120"/>
    </row>
    <row r="36" spans="1:15" ht="15.75">
      <c r="A36" s="123" t="s">
        <v>117</v>
      </c>
      <c r="B36" s="128">
        <f>(3406*1.03)+100</f>
        <v>3608.1800000000003</v>
      </c>
      <c r="C36" s="114">
        <v>80</v>
      </c>
      <c r="D36" s="114">
        <v>20</v>
      </c>
      <c r="E36" s="115">
        <f t="shared" si="1"/>
        <v>840</v>
      </c>
      <c r="F36" s="115">
        <v>120</v>
      </c>
      <c r="G36" s="135">
        <v>13</v>
      </c>
      <c r="H36" s="116">
        <f t="shared" si="0"/>
        <v>4681.18</v>
      </c>
      <c r="I36" s="120"/>
      <c r="J36" s="119"/>
      <c r="K36" s="119"/>
      <c r="L36" s="120"/>
    </row>
    <row r="37" spans="1:15" ht="15.75">
      <c r="A37" s="9"/>
      <c r="B37" s="120"/>
      <c r="C37" s="119"/>
      <c r="D37" s="119"/>
      <c r="E37" s="119"/>
      <c r="F37" s="119"/>
      <c r="G37" s="120"/>
      <c r="H37" s="120"/>
      <c r="I37" s="126"/>
      <c r="J37" s="126"/>
      <c r="L37" s="130"/>
      <c r="M37" s="130"/>
      <c r="N37" s="129"/>
      <c r="O37" s="127"/>
    </row>
    <row r="38" spans="1:15">
      <c r="A38" s="160"/>
      <c r="M38" s="117"/>
    </row>
    <row r="39" spans="1:15">
      <c r="M39" s="117"/>
    </row>
    <row r="40" spans="1:15">
      <c r="M40" s="117"/>
    </row>
    <row r="41" spans="1:15">
      <c r="M41" s="117"/>
    </row>
    <row r="42" spans="1:15" ht="20.25">
      <c r="A42" s="299" t="s">
        <v>130</v>
      </c>
      <c r="B42" s="299"/>
      <c r="C42" s="299"/>
      <c r="D42" s="299"/>
      <c r="E42" s="299"/>
      <c r="F42" s="299"/>
      <c r="G42" s="299"/>
      <c r="H42" s="299"/>
      <c r="I42" s="68"/>
      <c r="J42" s="56"/>
      <c r="K42" s="68"/>
      <c r="L42" s="68"/>
      <c r="M42" s="68"/>
      <c r="N42" s="68"/>
      <c r="O42" s="68"/>
    </row>
    <row r="43" spans="1:15" ht="20.25">
      <c r="A43" s="316" t="s">
        <v>118</v>
      </c>
      <c r="B43" s="316"/>
      <c r="C43" s="316"/>
      <c r="D43" s="316"/>
      <c r="E43" s="316"/>
      <c r="F43" s="316"/>
      <c r="G43" s="316"/>
      <c r="H43" s="316"/>
      <c r="I43" s="174"/>
      <c r="J43" s="167"/>
      <c r="K43" s="104"/>
      <c r="L43" s="104"/>
      <c r="M43" s="104"/>
      <c r="N43" s="104"/>
      <c r="O43" s="104"/>
    </row>
    <row r="44" spans="1:15" ht="18.75">
      <c r="A44" s="105"/>
      <c r="B44" s="315" t="s">
        <v>97</v>
      </c>
      <c r="C44" s="315"/>
      <c r="D44" s="315"/>
      <c r="E44" s="315"/>
      <c r="F44" s="315"/>
      <c r="G44" s="315"/>
      <c r="H44" s="315"/>
      <c r="I44" s="151"/>
      <c r="J44" s="151"/>
    </row>
    <row r="45" spans="1:15" ht="30">
      <c r="A45" s="106" t="s">
        <v>2</v>
      </c>
      <c r="B45" s="107" t="s">
        <v>3</v>
      </c>
      <c r="C45" s="108" t="s">
        <v>4</v>
      </c>
      <c r="D45" s="109" t="s">
        <v>104</v>
      </c>
      <c r="E45" s="168" t="s">
        <v>105</v>
      </c>
      <c r="F45" s="4" t="s">
        <v>6</v>
      </c>
      <c r="G45" s="4" t="s">
        <v>9</v>
      </c>
      <c r="H45" s="108" t="s">
        <v>10</v>
      </c>
    </row>
    <row r="46" spans="1:15" ht="15.75">
      <c r="A46" s="105"/>
      <c r="B46" s="7" t="s">
        <v>12</v>
      </c>
      <c r="C46" s="7" t="s">
        <v>12</v>
      </c>
      <c r="D46" s="7" t="s">
        <v>12</v>
      </c>
      <c r="E46" s="7" t="s">
        <v>12</v>
      </c>
      <c r="F46" s="7" t="s">
        <v>12</v>
      </c>
      <c r="G46" s="169" t="s">
        <v>12</v>
      </c>
      <c r="H46" s="169" t="s">
        <v>12</v>
      </c>
    </row>
    <row r="47" spans="1:15" ht="15.75">
      <c r="A47" s="123" t="s">
        <v>119</v>
      </c>
      <c r="B47" s="128">
        <f>(4302*1.03)+100</f>
        <v>4531.0600000000004</v>
      </c>
      <c r="C47" s="114">
        <v>80</v>
      </c>
      <c r="D47" s="114">
        <v>20</v>
      </c>
      <c r="E47" s="115">
        <v>600</v>
      </c>
      <c r="F47" s="115">
        <v>120</v>
      </c>
      <c r="G47" s="114">
        <v>13</v>
      </c>
      <c r="H47" s="116">
        <f>SUM(B47:G47)</f>
        <v>5364.06</v>
      </c>
    </row>
    <row r="48" spans="1:15" ht="15.75">
      <c r="A48" s="123" t="s">
        <v>120</v>
      </c>
      <c r="B48" s="128">
        <f>(4302*1.03)+100</f>
        <v>4531.0600000000004</v>
      </c>
      <c r="C48" s="114">
        <v>80</v>
      </c>
      <c r="D48" s="114">
        <v>20</v>
      </c>
      <c r="E48" s="115">
        <v>600</v>
      </c>
      <c r="F48" s="115">
        <v>120</v>
      </c>
      <c r="G48" s="114">
        <v>13</v>
      </c>
      <c r="H48" s="116">
        <f>SUM(B48:G48)</f>
        <v>5364.06</v>
      </c>
    </row>
    <row r="49" spans="1:15" ht="15.75">
      <c r="A49" s="123" t="s">
        <v>121</v>
      </c>
      <c r="B49" s="128">
        <f>(3228*1.03)+100</f>
        <v>3424.84</v>
      </c>
      <c r="C49" s="114">
        <v>80</v>
      </c>
      <c r="D49" s="114">
        <v>20</v>
      </c>
      <c r="E49" s="114">
        <v>0</v>
      </c>
      <c r="F49" s="115">
        <v>120</v>
      </c>
      <c r="G49" s="114">
        <v>13</v>
      </c>
      <c r="H49" s="116">
        <f>SUM(B49:G49)</f>
        <v>3657.84</v>
      </c>
    </row>
    <row r="50" spans="1:15" ht="15.75">
      <c r="A50" s="123" t="s">
        <v>122</v>
      </c>
      <c r="B50" s="128">
        <f>(3228*1.03)+100</f>
        <v>3424.84</v>
      </c>
      <c r="C50" s="114">
        <v>80</v>
      </c>
      <c r="D50" s="114">
        <v>20</v>
      </c>
      <c r="E50" s="114">
        <v>0</v>
      </c>
      <c r="F50" s="115">
        <v>120</v>
      </c>
      <c r="G50" s="114">
        <v>13</v>
      </c>
      <c r="H50" s="116">
        <f>SUM(B50:G50)</f>
        <v>3657.84</v>
      </c>
    </row>
    <row r="51" spans="1:15" ht="15.75">
      <c r="A51" s="9"/>
      <c r="B51" s="129"/>
      <c r="C51" s="130"/>
      <c r="D51" s="130"/>
      <c r="E51" s="130"/>
      <c r="F51" s="130"/>
      <c r="G51" s="129"/>
      <c r="H51" s="129"/>
      <c r="I51" s="126"/>
      <c r="J51" s="126"/>
      <c r="K51" s="129"/>
      <c r="L51" s="130"/>
      <c r="M51" s="130"/>
      <c r="N51" s="130"/>
      <c r="O51" s="127"/>
    </row>
    <row r="52" spans="1:15" ht="15.75">
      <c r="A52" s="160"/>
      <c r="B52" s="129"/>
      <c r="C52" s="130"/>
      <c r="D52" s="130"/>
      <c r="E52" s="130"/>
      <c r="F52" s="130"/>
      <c r="G52" s="129"/>
      <c r="H52" s="129"/>
      <c r="I52" s="126"/>
      <c r="J52" s="126"/>
      <c r="K52" s="129"/>
      <c r="L52" s="130"/>
      <c r="M52" s="130"/>
      <c r="N52" s="130"/>
      <c r="O52" s="127"/>
    </row>
    <row r="53" spans="1:15" ht="15.75">
      <c r="B53" s="129"/>
      <c r="C53" s="130"/>
      <c r="D53" s="130"/>
      <c r="E53" s="130"/>
      <c r="F53" s="130"/>
      <c r="G53" s="129"/>
      <c r="H53" s="129"/>
      <c r="I53" s="126"/>
      <c r="J53" s="126"/>
      <c r="K53" s="129"/>
      <c r="L53" s="130"/>
      <c r="M53" s="130"/>
      <c r="N53" s="130"/>
      <c r="O53" s="127"/>
    </row>
    <row r="54" spans="1:15" ht="15.75">
      <c r="B54" s="129"/>
      <c r="C54" s="130"/>
      <c r="D54" s="130"/>
      <c r="E54" s="130"/>
      <c r="F54" s="130"/>
      <c r="G54" s="129"/>
      <c r="H54" s="129"/>
      <c r="I54" s="126"/>
      <c r="J54" s="126"/>
      <c r="K54" s="129"/>
      <c r="L54" s="130"/>
      <c r="M54" s="130"/>
      <c r="N54" s="130"/>
      <c r="O54" s="127"/>
    </row>
    <row r="55" spans="1:15" ht="15.75">
      <c r="B55" s="129"/>
      <c r="C55" s="130"/>
      <c r="D55" s="130"/>
      <c r="E55" s="130"/>
      <c r="F55" s="130"/>
      <c r="G55" s="129"/>
      <c r="H55" s="129"/>
      <c r="I55" s="126"/>
      <c r="J55" s="126"/>
      <c r="K55" s="129"/>
      <c r="L55" s="130"/>
      <c r="M55" s="130"/>
      <c r="N55" s="130"/>
      <c r="O55" s="127"/>
    </row>
    <row r="56" spans="1:15" ht="15.75">
      <c r="B56" s="129"/>
      <c r="C56" s="130"/>
      <c r="D56" s="130"/>
      <c r="E56" s="130"/>
      <c r="F56" s="130"/>
      <c r="G56" s="129"/>
      <c r="H56" s="129"/>
      <c r="I56" s="126"/>
      <c r="J56" s="126"/>
      <c r="K56" s="129"/>
      <c r="L56" s="130"/>
      <c r="M56" s="130"/>
      <c r="N56" s="130"/>
      <c r="O56" s="127"/>
    </row>
    <row r="57" spans="1:15" ht="20.25">
      <c r="A57" s="299" t="s">
        <v>130</v>
      </c>
      <c r="B57" s="299"/>
      <c r="C57" s="299"/>
      <c r="D57" s="299"/>
      <c r="E57" s="299"/>
      <c r="F57" s="299"/>
      <c r="G57" s="299"/>
      <c r="H57" s="299"/>
      <c r="I57" s="68"/>
      <c r="J57" s="56"/>
      <c r="K57" s="68"/>
      <c r="L57" s="68"/>
      <c r="M57" s="68"/>
      <c r="N57" s="68"/>
      <c r="O57" s="68"/>
    </row>
    <row r="58" spans="1:15" ht="20.25">
      <c r="A58" s="319" t="s">
        <v>123</v>
      </c>
      <c r="B58" s="305"/>
      <c r="C58" s="305"/>
      <c r="D58" s="305"/>
      <c r="E58" s="305"/>
      <c r="F58" s="305"/>
      <c r="G58" s="305"/>
      <c r="H58" s="305"/>
      <c r="I58" s="305"/>
      <c r="J58" s="61"/>
      <c r="K58" s="104"/>
      <c r="L58" s="104"/>
      <c r="M58" s="104"/>
      <c r="N58" s="104"/>
      <c r="O58" s="104"/>
    </row>
    <row r="59" spans="1:15" ht="18.75">
      <c r="A59" s="105"/>
      <c r="B59" s="315" t="s">
        <v>97</v>
      </c>
      <c r="C59" s="315"/>
      <c r="D59" s="315"/>
      <c r="E59" s="315"/>
      <c r="F59" s="315"/>
      <c r="G59" s="315"/>
      <c r="H59" s="315"/>
      <c r="I59" s="151"/>
      <c r="J59" s="151"/>
      <c r="K59" s="320"/>
      <c r="L59" s="320"/>
      <c r="M59" s="320"/>
      <c r="N59" s="320"/>
      <c r="O59" s="320"/>
    </row>
    <row r="60" spans="1:15" ht="36.75">
      <c r="A60" s="106" t="s">
        <v>2</v>
      </c>
      <c r="B60" s="107" t="s">
        <v>3</v>
      </c>
      <c r="C60" s="108" t="s">
        <v>4</v>
      </c>
      <c r="D60" s="109" t="s">
        <v>104</v>
      </c>
      <c r="E60" s="4" t="s">
        <v>6</v>
      </c>
      <c r="F60" s="111" t="s">
        <v>134</v>
      </c>
      <c r="G60" s="4" t="s">
        <v>9</v>
      </c>
      <c r="H60" s="108" t="s">
        <v>10</v>
      </c>
      <c r="I60" s="4"/>
      <c r="J60" s="131"/>
      <c r="K60" s="132"/>
      <c r="L60" s="133"/>
      <c r="M60" s="131"/>
    </row>
    <row r="61" spans="1:15" ht="15.75">
      <c r="A61" s="105"/>
      <c r="B61" s="7" t="s">
        <v>12</v>
      </c>
      <c r="C61" s="7" t="s">
        <v>12</v>
      </c>
      <c r="D61" s="7" t="s">
        <v>12</v>
      </c>
      <c r="E61" s="7" t="s">
        <v>12</v>
      </c>
      <c r="F61" s="7" t="s">
        <v>12</v>
      </c>
      <c r="G61" s="7" t="s">
        <v>12</v>
      </c>
      <c r="H61" s="7" t="s">
        <v>12</v>
      </c>
      <c r="I61" s="3"/>
      <c r="J61" s="3"/>
      <c r="K61" s="3"/>
      <c r="L61" s="3"/>
      <c r="M61" s="3"/>
    </row>
    <row r="62" spans="1:15" ht="15.75">
      <c r="A62" s="123" t="s">
        <v>124</v>
      </c>
      <c r="B62" s="134">
        <f>(5298*1.06)+100</f>
        <v>5715.88</v>
      </c>
      <c r="C62" s="114">
        <v>80</v>
      </c>
      <c r="D62" s="114">
        <v>20</v>
      </c>
      <c r="E62" s="136">
        <v>120</v>
      </c>
      <c r="F62" s="136">
        <v>1500</v>
      </c>
      <c r="G62" s="114">
        <v>13</v>
      </c>
      <c r="H62" s="116">
        <f>SUM(B62:G62)</f>
        <v>7448.88</v>
      </c>
      <c r="I62" s="137"/>
      <c r="J62" s="138"/>
      <c r="K62" s="138"/>
      <c r="L62" s="137"/>
      <c r="M62" s="127"/>
    </row>
    <row r="63" spans="1:15" ht="15.75">
      <c r="A63" s="9"/>
      <c r="B63" s="129"/>
      <c r="C63" s="130"/>
      <c r="D63" s="130"/>
      <c r="E63" s="130"/>
      <c r="F63" s="130"/>
      <c r="G63" s="129"/>
      <c r="H63" s="129"/>
      <c r="I63" s="126"/>
      <c r="J63" s="126"/>
      <c r="K63" s="129"/>
      <c r="L63" s="130"/>
      <c r="M63" s="130"/>
      <c r="N63" s="129"/>
      <c r="O63" s="127"/>
    </row>
    <row r="64" spans="1:15" ht="15.75">
      <c r="A64" s="160"/>
      <c r="B64" s="129"/>
      <c r="C64" s="130"/>
      <c r="D64" s="130"/>
      <c r="E64" s="130"/>
      <c r="F64" s="130"/>
      <c r="G64" s="129"/>
      <c r="H64" s="129"/>
      <c r="I64" s="126"/>
      <c r="J64" s="126"/>
      <c r="K64" s="129"/>
      <c r="L64" s="130"/>
      <c r="M64" s="130"/>
      <c r="N64" s="129"/>
      <c r="O64" s="127"/>
    </row>
    <row r="65" spans="1:15" ht="15.75">
      <c r="A65" s="9"/>
      <c r="B65" s="129"/>
      <c r="C65" s="130"/>
      <c r="D65" s="130"/>
      <c r="E65" s="130"/>
      <c r="F65" s="130"/>
      <c r="G65" s="129"/>
      <c r="H65" s="129"/>
      <c r="I65" s="126"/>
      <c r="J65" s="126"/>
      <c r="K65" s="129"/>
      <c r="L65" s="130"/>
      <c r="M65" s="130"/>
      <c r="N65" s="129"/>
      <c r="O65" s="127"/>
    </row>
    <row r="66" spans="1:15" ht="15.75">
      <c r="A66" s="9"/>
      <c r="B66" s="129"/>
      <c r="C66" s="130"/>
      <c r="D66" s="130"/>
      <c r="E66" s="130"/>
      <c r="F66" s="130"/>
      <c r="G66" s="129"/>
      <c r="H66" s="129"/>
      <c r="I66" s="126"/>
      <c r="J66" s="126"/>
      <c r="K66" s="129"/>
      <c r="L66" s="130"/>
      <c r="M66" s="130"/>
      <c r="N66" s="129"/>
      <c r="O66" s="127"/>
    </row>
    <row r="67" spans="1:15" ht="20.25">
      <c r="A67" s="299" t="s">
        <v>130</v>
      </c>
      <c r="B67" s="299"/>
      <c r="C67" s="299"/>
      <c r="D67" s="299"/>
      <c r="E67" s="299"/>
      <c r="F67" s="299"/>
      <c r="G67" s="299"/>
      <c r="H67" s="299"/>
      <c r="I67" s="68"/>
      <c r="J67" s="56"/>
      <c r="K67" s="68"/>
      <c r="L67" s="68"/>
      <c r="M67" s="68"/>
      <c r="N67" s="68"/>
      <c r="O67" s="68"/>
    </row>
    <row r="68" spans="1:15" ht="20.25">
      <c r="A68" s="316" t="s">
        <v>125</v>
      </c>
      <c r="B68" s="316"/>
      <c r="C68" s="316"/>
      <c r="D68" s="316"/>
      <c r="E68" s="316"/>
      <c r="F68" s="316"/>
      <c r="G68" s="316"/>
      <c r="H68" s="316"/>
      <c r="I68" s="174"/>
      <c r="J68" s="167"/>
      <c r="K68" s="104"/>
      <c r="L68" s="104"/>
      <c r="M68" s="104"/>
      <c r="N68" s="104"/>
      <c r="O68" s="104"/>
    </row>
    <row r="69" spans="1:15" ht="18.75">
      <c r="A69" s="105"/>
      <c r="B69" s="315" t="s">
        <v>97</v>
      </c>
      <c r="C69" s="315"/>
      <c r="D69" s="315"/>
      <c r="E69" s="315"/>
      <c r="F69" s="315"/>
      <c r="G69" s="315"/>
      <c r="H69" s="315"/>
      <c r="I69" s="151"/>
      <c r="J69" s="151"/>
    </row>
    <row r="70" spans="1:15" ht="30">
      <c r="A70" s="106" t="s">
        <v>2</v>
      </c>
      <c r="B70" s="107" t="s">
        <v>3</v>
      </c>
      <c r="C70" s="108" t="s">
        <v>4</v>
      </c>
      <c r="D70" s="109" t="s">
        <v>104</v>
      </c>
      <c r="E70" s="111" t="s">
        <v>105</v>
      </c>
      <c r="F70" s="4" t="s">
        <v>6</v>
      </c>
      <c r="G70" s="4" t="s">
        <v>9</v>
      </c>
      <c r="H70" s="108" t="s">
        <v>10</v>
      </c>
    </row>
    <row r="71" spans="1:15" ht="15.75">
      <c r="A71" s="105"/>
      <c r="B71" s="139" t="s">
        <v>39</v>
      </c>
      <c r="C71" s="139" t="s">
        <v>39</v>
      </c>
      <c r="D71" s="139" t="s">
        <v>39</v>
      </c>
      <c r="E71" s="139" t="s">
        <v>39</v>
      </c>
      <c r="F71" s="139" t="s">
        <v>39</v>
      </c>
      <c r="G71" s="139" t="s">
        <v>39</v>
      </c>
      <c r="H71" s="139" t="s">
        <v>39</v>
      </c>
    </row>
    <row r="72" spans="1:15" ht="15.75">
      <c r="A72" s="123" t="s">
        <v>106</v>
      </c>
      <c r="B72" s="134">
        <f>1571+16</f>
        <v>1587</v>
      </c>
      <c r="C72" s="135">
        <v>9</v>
      </c>
      <c r="D72" s="135">
        <v>2</v>
      </c>
      <c r="E72" s="136">
        <v>165</v>
      </c>
      <c r="F72" s="136">
        <v>15</v>
      </c>
      <c r="G72" s="114">
        <v>2</v>
      </c>
      <c r="H72" s="116">
        <f>SUM(B72:G72)</f>
        <v>1780</v>
      </c>
    </row>
    <row r="73" spans="1:15" ht="15.75">
      <c r="A73" s="123" t="s">
        <v>107</v>
      </c>
      <c r="B73" s="134">
        <f>3351+16</f>
        <v>3367</v>
      </c>
      <c r="C73" s="135">
        <v>9</v>
      </c>
      <c r="D73" s="135">
        <v>2</v>
      </c>
      <c r="E73" s="136">
        <v>165</v>
      </c>
      <c r="F73" s="136">
        <v>15</v>
      </c>
      <c r="G73" s="114">
        <v>2</v>
      </c>
      <c r="H73" s="116">
        <f>SUM(B73:G73)</f>
        <v>3560</v>
      </c>
    </row>
    <row r="74" spans="1:15" ht="15.75">
      <c r="A74" s="9"/>
      <c r="B74" s="129"/>
      <c r="C74" s="130"/>
      <c r="D74" s="130"/>
      <c r="E74" s="130"/>
      <c r="F74" s="130"/>
      <c r="G74" s="129"/>
      <c r="H74" s="129"/>
      <c r="I74" s="126"/>
      <c r="J74" s="126"/>
      <c r="K74" s="129"/>
      <c r="L74" s="130"/>
      <c r="M74" s="130"/>
      <c r="N74" s="129"/>
      <c r="O74" s="127"/>
    </row>
    <row r="75" spans="1:15" ht="15.75">
      <c r="A75" s="170"/>
      <c r="B75" s="129"/>
      <c r="C75" s="130"/>
      <c r="D75" s="130"/>
      <c r="E75" s="130"/>
      <c r="F75" s="130"/>
      <c r="G75" s="129"/>
      <c r="H75" s="129"/>
      <c r="I75" s="126"/>
      <c r="J75" s="126"/>
      <c r="K75" s="129"/>
      <c r="L75" s="130"/>
      <c r="M75" s="130"/>
      <c r="N75" s="129"/>
      <c r="O75" s="127"/>
    </row>
    <row r="76" spans="1:15" ht="15.75">
      <c r="B76" s="129"/>
      <c r="C76" s="130"/>
      <c r="D76" s="130"/>
      <c r="E76" s="130"/>
      <c r="F76" s="130"/>
      <c r="G76" s="129"/>
      <c r="H76" s="129"/>
      <c r="I76" s="126"/>
      <c r="J76" s="126"/>
      <c r="K76" s="129"/>
      <c r="L76" s="130"/>
      <c r="M76" s="130"/>
      <c r="N76" s="129"/>
      <c r="O76" s="127"/>
    </row>
    <row r="77" spans="1:15" ht="15.75">
      <c r="A77" t="s">
        <v>23</v>
      </c>
      <c r="B77" s="129"/>
      <c r="C77" s="130"/>
      <c r="D77" s="130"/>
      <c r="E77" s="130"/>
      <c r="F77" s="130"/>
      <c r="G77" s="129"/>
      <c r="H77" s="129"/>
      <c r="I77" s="126"/>
      <c r="J77" s="126"/>
      <c r="K77" s="129"/>
      <c r="L77" s="130"/>
      <c r="M77" s="130"/>
      <c r="N77" s="129"/>
      <c r="O77" s="127"/>
    </row>
    <row r="78" spans="1:15" ht="15.75">
      <c r="B78" s="129"/>
      <c r="C78" s="130"/>
      <c r="D78" s="130"/>
      <c r="E78" s="130"/>
      <c r="F78" s="130"/>
      <c r="G78" s="129"/>
      <c r="H78" s="129"/>
      <c r="I78" s="126"/>
      <c r="J78" s="126"/>
      <c r="K78" s="129"/>
      <c r="L78" s="130"/>
      <c r="M78" s="130"/>
      <c r="N78" s="129"/>
      <c r="O78" s="127"/>
    </row>
    <row r="79" spans="1:15" ht="15.75">
      <c r="B79" s="129"/>
      <c r="C79" s="130"/>
      <c r="D79" s="130"/>
      <c r="E79" s="130"/>
      <c r="F79" s="130"/>
      <c r="G79" s="129"/>
      <c r="H79" s="129"/>
      <c r="I79" s="126"/>
      <c r="J79" s="126"/>
      <c r="K79" s="129"/>
      <c r="L79" s="130"/>
      <c r="M79" s="130"/>
      <c r="N79" s="129"/>
      <c r="O79" s="127"/>
    </row>
    <row r="80" spans="1:15" ht="20.25">
      <c r="A80" s="299" t="s">
        <v>130</v>
      </c>
      <c r="B80" s="299"/>
      <c r="C80" s="299"/>
      <c r="D80" s="299"/>
      <c r="E80" s="299"/>
      <c r="F80" s="299"/>
      <c r="G80" s="299"/>
      <c r="H80" s="299"/>
      <c r="I80" s="299"/>
      <c r="J80" s="56"/>
      <c r="K80" s="68"/>
      <c r="L80" s="68"/>
      <c r="M80" s="68"/>
      <c r="N80" s="68"/>
      <c r="O80" s="68"/>
    </row>
    <row r="81" spans="1:15" ht="20.25">
      <c r="A81" s="316" t="s">
        <v>126</v>
      </c>
      <c r="B81" s="316"/>
      <c r="C81" s="316"/>
      <c r="D81" s="316"/>
      <c r="E81" s="316"/>
      <c r="F81" s="316"/>
      <c r="G81" s="316"/>
      <c r="H81" s="316"/>
      <c r="I81" s="316"/>
      <c r="J81" s="154"/>
      <c r="K81" s="154"/>
      <c r="L81" s="104"/>
      <c r="M81" s="104"/>
      <c r="N81" s="104"/>
      <c r="O81" s="104"/>
    </row>
    <row r="82" spans="1:15" ht="18.75">
      <c r="A82" s="105"/>
      <c r="B82" s="315" t="s">
        <v>97</v>
      </c>
      <c r="C82" s="315"/>
      <c r="D82" s="315"/>
      <c r="E82" s="315"/>
      <c r="F82" s="315"/>
      <c r="G82" s="315"/>
      <c r="H82" s="315"/>
      <c r="I82" s="315"/>
      <c r="J82" s="151"/>
      <c r="K82" s="151"/>
    </row>
    <row r="83" spans="1:15" ht="30">
      <c r="A83" s="106" t="s">
        <v>2</v>
      </c>
      <c r="B83" s="107" t="s">
        <v>3</v>
      </c>
      <c r="C83" s="108" t="s">
        <v>4</v>
      </c>
      <c r="D83" s="109" t="s">
        <v>104</v>
      </c>
      <c r="E83" s="111" t="s">
        <v>105</v>
      </c>
      <c r="F83" s="4" t="s">
        <v>6</v>
      </c>
      <c r="G83" s="4" t="s">
        <v>135</v>
      </c>
      <c r="H83" s="4" t="s">
        <v>9</v>
      </c>
      <c r="I83" s="108" t="s">
        <v>10</v>
      </c>
    </row>
    <row r="84" spans="1:15" ht="15.75">
      <c r="A84" s="105"/>
      <c r="B84" s="139" t="s">
        <v>39</v>
      </c>
      <c r="C84" s="139" t="s">
        <v>39</v>
      </c>
      <c r="D84" s="139" t="s">
        <v>39</v>
      </c>
      <c r="E84" s="139" t="s">
        <v>39</v>
      </c>
      <c r="F84" s="139" t="s">
        <v>39</v>
      </c>
      <c r="G84" s="139" t="s">
        <v>39</v>
      </c>
      <c r="H84" s="139" t="s">
        <v>39</v>
      </c>
      <c r="I84" s="139" t="s">
        <v>39</v>
      </c>
    </row>
    <row r="85" spans="1:15" ht="15.75">
      <c r="A85" s="123" t="s">
        <v>109</v>
      </c>
      <c r="B85" s="134">
        <f>1851+16</f>
        <v>1867</v>
      </c>
      <c r="C85" s="135">
        <v>9</v>
      </c>
      <c r="D85" s="135">
        <v>2</v>
      </c>
      <c r="E85" s="136">
        <v>165</v>
      </c>
      <c r="F85" s="136">
        <v>15</v>
      </c>
      <c r="G85" s="136">
        <v>0</v>
      </c>
      <c r="H85" s="136">
        <v>2</v>
      </c>
      <c r="I85" s="116">
        <f>SUM(B85:H85)</f>
        <v>2060</v>
      </c>
    </row>
    <row r="86" spans="1:15" ht="31.5">
      <c r="A86" s="171" t="s">
        <v>136</v>
      </c>
      <c r="B86" s="134">
        <f>1851+16</f>
        <v>1867</v>
      </c>
      <c r="C86" s="135">
        <v>9</v>
      </c>
      <c r="D86" s="135">
        <v>2</v>
      </c>
      <c r="E86" s="135">
        <v>130</v>
      </c>
      <c r="F86" s="135">
        <v>15</v>
      </c>
      <c r="G86" s="136">
        <v>16</v>
      </c>
      <c r="H86" s="136">
        <v>2</v>
      </c>
      <c r="I86" s="116">
        <f>SUM(B86:H86)</f>
        <v>2041</v>
      </c>
    </row>
    <row r="87" spans="1:15" ht="15.75">
      <c r="B87" s="129"/>
      <c r="C87" s="130"/>
      <c r="D87" s="130"/>
      <c r="E87" s="130"/>
      <c r="F87" s="130"/>
      <c r="G87" s="129"/>
      <c r="H87" s="129"/>
      <c r="I87" s="126"/>
      <c r="J87" s="126"/>
      <c r="K87" s="129"/>
      <c r="L87" s="130"/>
      <c r="M87" s="130"/>
      <c r="N87" s="129"/>
      <c r="O87" s="127"/>
    </row>
    <row r="88" spans="1:15" ht="15.75">
      <c r="A88" s="170"/>
      <c r="B88" s="129"/>
      <c r="C88" s="130"/>
      <c r="D88" s="130"/>
      <c r="E88" s="130"/>
      <c r="F88" s="130"/>
      <c r="G88" s="129"/>
      <c r="H88" s="129"/>
      <c r="I88" s="126"/>
      <c r="J88" s="126"/>
      <c r="K88" s="129"/>
      <c r="L88" s="130"/>
      <c r="M88" s="130"/>
      <c r="N88" s="129"/>
      <c r="O88" s="127"/>
    </row>
    <row r="89" spans="1:15" ht="15.75">
      <c r="B89" s="129"/>
      <c r="C89" s="130"/>
      <c r="D89" s="130"/>
      <c r="E89" s="130"/>
      <c r="F89" s="130"/>
      <c r="G89" s="129"/>
      <c r="H89" s="129"/>
      <c r="I89" s="126"/>
      <c r="J89" s="126"/>
      <c r="K89" s="129"/>
      <c r="L89" s="130"/>
      <c r="M89" s="130"/>
      <c r="N89" s="129"/>
      <c r="O89" s="127"/>
    </row>
    <row r="90" spans="1:15" ht="15.75">
      <c r="B90" s="129"/>
      <c r="C90" s="130"/>
      <c r="D90" s="130"/>
      <c r="E90" s="130"/>
      <c r="F90" s="130"/>
      <c r="G90" s="129"/>
      <c r="H90" s="129"/>
      <c r="I90" s="126"/>
      <c r="J90" s="126"/>
      <c r="K90" s="129"/>
      <c r="L90" s="130"/>
      <c r="M90" s="130"/>
      <c r="N90" s="129"/>
      <c r="O90" s="127"/>
    </row>
    <row r="91" spans="1:15" ht="15.75">
      <c r="A91" s="9"/>
      <c r="B91" s="129"/>
      <c r="C91" s="130"/>
      <c r="D91" s="130"/>
      <c r="E91" s="130"/>
      <c r="F91" s="130"/>
      <c r="G91" s="129"/>
      <c r="H91" s="129"/>
      <c r="I91" s="126"/>
      <c r="J91" s="126"/>
      <c r="K91" s="129"/>
      <c r="L91" s="130"/>
      <c r="M91" s="130"/>
      <c r="N91" s="129"/>
      <c r="O91" s="127"/>
    </row>
    <row r="92" spans="1:15" ht="15.75">
      <c r="A92" s="9"/>
      <c r="B92" s="129"/>
      <c r="C92" s="130"/>
      <c r="D92" s="130"/>
      <c r="E92" s="130"/>
      <c r="F92" s="130"/>
      <c r="G92" s="129"/>
      <c r="H92" s="129"/>
      <c r="I92" s="126"/>
      <c r="J92" s="126"/>
      <c r="K92" s="129"/>
      <c r="L92" s="130"/>
      <c r="M92" s="130"/>
      <c r="N92" s="129"/>
      <c r="O92" s="127"/>
    </row>
    <row r="93" spans="1:15" ht="20.25">
      <c r="A93" s="299" t="s">
        <v>130</v>
      </c>
      <c r="B93" s="299"/>
      <c r="C93" s="299"/>
      <c r="D93" s="299"/>
      <c r="E93" s="299"/>
      <c r="F93" s="299"/>
      <c r="G93" s="299"/>
      <c r="H93" s="299"/>
      <c r="I93" s="68"/>
      <c r="J93" s="56"/>
      <c r="K93" s="68"/>
      <c r="L93" s="68"/>
      <c r="M93" s="68"/>
      <c r="N93" s="68"/>
      <c r="O93" s="68"/>
    </row>
    <row r="94" spans="1:15" ht="20.25">
      <c r="A94" s="316" t="s">
        <v>127</v>
      </c>
      <c r="B94" s="316"/>
      <c r="C94" s="316"/>
      <c r="D94" s="316"/>
      <c r="E94" s="316"/>
      <c r="F94" s="316"/>
      <c r="G94" s="316"/>
      <c r="H94" s="316"/>
      <c r="I94" s="174"/>
      <c r="J94" s="167"/>
      <c r="K94" s="104"/>
      <c r="L94" s="104"/>
      <c r="M94" s="104"/>
      <c r="N94" s="104"/>
      <c r="O94" s="104"/>
    </row>
    <row r="95" spans="1:15" ht="18.75">
      <c r="A95" s="105"/>
      <c r="B95" s="321" t="s">
        <v>97</v>
      </c>
      <c r="C95" s="322"/>
      <c r="D95" s="322"/>
      <c r="E95" s="322"/>
      <c r="F95" s="322"/>
      <c r="G95" s="322"/>
      <c r="H95" s="323"/>
      <c r="I95" s="151"/>
      <c r="J95" s="151"/>
    </row>
    <row r="96" spans="1:15" ht="31.5">
      <c r="A96" s="106" t="s">
        <v>2</v>
      </c>
      <c r="B96" s="140" t="s">
        <v>3</v>
      </c>
      <c r="C96" s="141" t="s">
        <v>4</v>
      </c>
      <c r="D96" s="142" t="s">
        <v>104</v>
      </c>
      <c r="E96" s="111" t="s">
        <v>105</v>
      </c>
      <c r="F96" s="4" t="s">
        <v>6</v>
      </c>
      <c r="G96" s="4" t="s">
        <v>9</v>
      </c>
      <c r="H96" s="108" t="s">
        <v>10</v>
      </c>
    </row>
    <row r="97" spans="1:15" ht="15.75">
      <c r="A97" s="105"/>
      <c r="B97" s="139" t="s">
        <v>39</v>
      </c>
      <c r="C97" s="139" t="s">
        <v>39</v>
      </c>
      <c r="D97" s="139" t="s">
        <v>39</v>
      </c>
      <c r="E97" s="139" t="s">
        <v>39</v>
      </c>
      <c r="F97" s="139" t="s">
        <v>39</v>
      </c>
      <c r="G97" s="139" t="s">
        <v>39</v>
      </c>
      <c r="H97" s="139" t="s">
        <v>39</v>
      </c>
    </row>
    <row r="98" spans="1:15" ht="15.75">
      <c r="A98" s="123" t="s">
        <v>111</v>
      </c>
      <c r="B98" s="134">
        <f>2512+16</f>
        <v>2528</v>
      </c>
      <c r="C98" s="135">
        <v>9</v>
      </c>
      <c r="D98" s="135">
        <v>2</v>
      </c>
      <c r="E98" s="136">
        <v>153</v>
      </c>
      <c r="F98" s="136">
        <v>15</v>
      </c>
      <c r="G98" s="172">
        <v>2</v>
      </c>
      <c r="H98" s="116">
        <f t="shared" ref="H98:H104" si="2">SUM(B98:G98)</f>
        <v>2709</v>
      </c>
    </row>
    <row r="99" spans="1:15" ht="15.75">
      <c r="A99" s="123" t="s">
        <v>112</v>
      </c>
      <c r="B99" s="134">
        <f>2512+16</f>
        <v>2528</v>
      </c>
      <c r="C99" s="135">
        <v>9</v>
      </c>
      <c r="D99" s="135">
        <v>2</v>
      </c>
      <c r="E99" s="136">
        <v>153</v>
      </c>
      <c r="F99" s="136">
        <v>15</v>
      </c>
      <c r="G99" s="172">
        <v>2</v>
      </c>
      <c r="H99" s="116">
        <f t="shared" si="2"/>
        <v>2709</v>
      </c>
    </row>
    <row r="100" spans="1:15" ht="15.75">
      <c r="A100" s="123" t="s">
        <v>113</v>
      </c>
      <c r="B100" s="134">
        <f>2258+16</f>
        <v>2274</v>
      </c>
      <c r="C100" s="135">
        <v>9</v>
      </c>
      <c r="D100" s="135">
        <v>2</v>
      </c>
      <c r="E100" s="136">
        <v>153</v>
      </c>
      <c r="F100" s="136">
        <v>15</v>
      </c>
      <c r="G100" s="172">
        <v>2</v>
      </c>
      <c r="H100" s="116">
        <f t="shared" si="2"/>
        <v>2455</v>
      </c>
    </row>
    <row r="101" spans="1:15" ht="15.75">
      <c r="A101" s="123" t="s">
        <v>114</v>
      </c>
      <c r="B101" s="143">
        <f>2512+16</f>
        <v>2528</v>
      </c>
      <c r="C101" s="135">
        <v>9</v>
      </c>
      <c r="D101" s="135">
        <v>2</v>
      </c>
      <c r="E101" s="115">
        <v>153</v>
      </c>
      <c r="F101" s="136">
        <v>15</v>
      </c>
      <c r="G101" s="172">
        <v>2</v>
      </c>
      <c r="H101" s="116">
        <f t="shared" si="2"/>
        <v>2709</v>
      </c>
    </row>
    <row r="102" spans="1:15" ht="15.75">
      <c r="A102" s="123" t="s">
        <v>115</v>
      </c>
      <c r="B102" s="143">
        <f>2258+16</f>
        <v>2274</v>
      </c>
      <c r="C102" s="135">
        <v>9</v>
      </c>
      <c r="D102" s="135">
        <v>2</v>
      </c>
      <c r="E102" s="115">
        <v>153</v>
      </c>
      <c r="F102" s="136">
        <v>15</v>
      </c>
      <c r="G102" s="172">
        <v>2</v>
      </c>
      <c r="H102" s="116">
        <f t="shared" si="2"/>
        <v>2455</v>
      </c>
    </row>
    <row r="103" spans="1:15" ht="15.75">
      <c r="A103" s="123" t="s">
        <v>116</v>
      </c>
      <c r="B103" s="143">
        <f>2258+16</f>
        <v>2274</v>
      </c>
      <c r="C103" s="135">
        <v>9</v>
      </c>
      <c r="D103" s="135">
        <v>2</v>
      </c>
      <c r="E103" s="115">
        <v>153</v>
      </c>
      <c r="F103" s="136">
        <v>15</v>
      </c>
      <c r="G103" s="172">
        <v>2</v>
      </c>
      <c r="H103" s="116">
        <f t="shared" si="2"/>
        <v>2455</v>
      </c>
    </row>
    <row r="104" spans="1:15" ht="15.75">
      <c r="A104" s="123" t="s">
        <v>117</v>
      </c>
      <c r="B104" s="143">
        <f>2258+16</f>
        <v>2274</v>
      </c>
      <c r="C104" s="135">
        <v>9</v>
      </c>
      <c r="D104" s="135">
        <v>2</v>
      </c>
      <c r="E104" s="115">
        <v>153</v>
      </c>
      <c r="F104" s="136">
        <v>15</v>
      </c>
      <c r="G104" s="172">
        <v>2</v>
      </c>
      <c r="H104" s="116">
        <f t="shared" si="2"/>
        <v>2455</v>
      </c>
    </row>
    <row r="105" spans="1:15" ht="15.75">
      <c r="A105" s="9"/>
      <c r="B105" s="137"/>
      <c r="C105" s="138"/>
      <c r="D105" s="138"/>
      <c r="E105" s="138"/>
      <c r="F105" s="138"/>
      <c r="G105" s="137"/>
      <c r="H105" s="137"/>
      <c r="I105" s="126"/>
      <c r="J105" s="126"/>
      <c r="K105" s="137"/>
      <c r="L105" s="138"/>
      <c r="M105" s="138"/>
      <c r="N105" s="137"/>
      <c r="O105" s="127"/>
    </row>
    <row r="106" spans="1:15" ht="15.75">
      <c r="A106" s="9"/>
      <c r="B106" s="129"/>
      <c r="C106" s="130"/>
      <c r="D106" s="130"/>
      <c r="E106" s="130"/>
      <c r="F106" s="130"/>
      <c r="G106" s="129"/>
      <c r="H106" s="129"/>
      <c r="I106" s="126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29"/>
      <c r="H107" s="129"/>
      <c r="I107" s="126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29"/>
      <c r="H108" s="129"/>
      <c r="I108" s="126"/>
      <c r="J108" s="126"/>
      <c r="K108" s="129"/>
      <c r="L108" s="130"/>
      <c r="M108" s="130"/>
      <c r="N108" s="129"/>
      <c r="O108" s="127"/>
    </row>
    <row r="110" spans="1:15" ht="20.25">
      <c r="A110" s="299" t="s">
        <v>130</v>
      </c>
      <c r="B110" s="299"/>
      <c r="C110" s="299"/>
      <c r="D110" s="299"/>
      <c r="E110" s="299"/>
      <c r="F110" s="299"/>
      <c r="G110" s="299"/>
      <c r="H110" s="299"/>
      <c r="I110" s="68"/>
      <c r="J110" s="56"/>
      <c r="K110" s="68"/>
      <c r="L110" s="68"/>
      <c r="M110" s="68"/>
      <c r="N110" s="68"/>
      <c r="O110" s="68"/>
    </row>
    <row r="111" spans="1:15" ht="20.25">
      <c r="A111" s="316" t="s">
        <v>129</v>
      </c>
      <c r="B111" s="316"/>
      <c r="C111" s="316"/>
      <c r="D111" s="316"/>
      <c r="E111" s="316"/>
      <c r="F111" s="316"/>
      <c r="G111" s="316"/>
      <c r="H111" s="316"/>
      <c r="I111" s="174"/>
      <c r="J111" s="167"/>
      <c r="K111" s="104"/>
      <c r="L111" s="104"/>
      <c r="M111" s="104"/>
      <c r="N111" s="104"/>
      <c r="O111" s="104"/>
    </row>
    <row r="112" spans="1:15" ht="18.75">
      <c r="A112" s="105"/>
      <c r="B112" s="315" t="s">
        <v>97</v>
      </c>
      <c r="C112" s="315"/>
      <c r="D112" s="315"/>
      <c r="E112" s="315"/>
      <c r="F112" s="315"/>
      <c r="G112" s="315"/>
      <c r="H112" s="315"/>
      <c r="I112" s="151"/>
      <c r="J112" s="151"/>
    </row>
    <row r="113" spans="1:15" ht="31.5">
      <c r="A113" s="106" t="s">
        <v>2</v>
      </c>
      <c r="B113" s="140" t="s">
        <v>3</v>
      </c>
      <c r="C113" s="141" t="s">
        <v>4</v>
      </c>
      <c r="D113" s="142" t="s">
        <v>104</v>
      </c>
      <c r="E113" s="111" t="s">
        <v>105</v>
      </c>
      <c r="F113" s="4" t="s">
        <v>6</v>
      </c>
      <c r="G113" s="4" t="s">
        <v>9</v>
      </c>
      <c r="H113" s="108" t="s">
        <v>10</v>
      </c>
    </row>
    <row r="114" spans="1:15" ht="15.75">
      <c r="A114" s="105"/>
      <c r="B114" s="7" t="s">
        <v>39</v>
      </c>
      <c r="C114" s="7" t="s">
        <v>39</v>
      </c>
      <c r="D114" s="7" t="s">
        <v>39</v>
      </c>
      <c r="E114" s="7" t="s">
        <v>39</v>
      </c>
      <c r="F114" s="139" t="s">
        <v>39</v>
      </c>
      <c r="G114" s="139" t="s">
        <v>39</v>
      </c>
      <c r="H114" s="139" t="s">
        <v>39</v>
      </c>
    </row>
    <row r="115" spans="1:15" ht="15.75">
      <c r="A115" s="123" t="s">
        <v>119</v>
      </c>
      <c r="B115" s="143">
        <f>2588+16</f>
        <v>2604</v>
      </c>
      <c r="C115" s="135">
        <v>9</v>
      </c>
      <c r="D115" s="135">
        <v>2</v>
      </c>
      <c r="E115" s="115">
        <v>153</v>
      </c>
      <c r="F115" s="115">
        <v>15</v>
      </c>
      <c r="G115" s="114">
        <v>2</v>
      </c>
      <c r="H115" s="116">
        <f>SUM(B115:G115)</f>
        <v>2785</v>
      </c>
    </row>
    <row r="116" spans="1:15" ht="15.75">
      <c r="A116" s="123" t="s">
        <v>120</v>
      </c>
      <c r="B116" s="143">
        <f>2588+16</f>
        <v>2604</v>
      </c>
      <c r="C116" s="135">
        <v>9</v>
      </c>
      <c r="D116" s="135">
        <v>2</v>
      </c>
      <c r="E116" s="115">
        <v>153</v>
      </c>
      <c r="F116" s="115">
        <v>15</v>
      </c>
      <c r="G116" s="114">
        <v>2</v>
      </c>
      <c r="H116" s="116">
        <f>SUM(B116:G116)</f>
        <v>2785</v>
      </c>
    </row>
    <row r="117" spans="1:15" ht="15" customHeight="1">
      <c r="A117" s="123" t="s">
        <v>121</v>
      </c>
      <c r="B117" s="143">
        <f>1524+16</f>
        <v>1540</v>
      </c>
      <c r="C117" s="135">
        <v>9</v>
      </c>
      <c r="D117" s="135">
        <v>2</v>
      </c>
      <c r="E117" s="115">
        <f>'[1]SAS 2016-17'!J35</f>
        <v>0</v>
      </c>
      <c r="F117" s="115">
        <v>15</v>
      </c>
      <c r="G117" s="114">
        <v>2</v>
      </c>
      <c r="H117" s="116">
        <f>SUM(B117:G117)</f>
        <v>1568</v>
      </c>
    </row>
    <row r="118" spans="1:15" ht="15.75">
      <c r="A118" s="123" t="s">
        <v>122</v>
      </c>
      <c r="B118" s="143">
        <f>1524+16</f>
        <v>1540</v>
      </c>
      <c r="C118" s="135">
        <v>9</v>
      </c>
      <c r="D118" s="135">
        <v>2</v>
      </c>
      <c r="E118" s="115">
        <f>'[1]SAS 2016-17'!J36</f>
        <v>0</v>
      </c>
      <c r="F118" s="115">
        <v>15</v>
      </c>
      <c r="G118" s="114">
        <v>2</v>
      </c>
      <c r="H118" s="116">
        <f>SUM(B118:G118)</f>
        <v>1568</v>
      </c>
    </row>
    <row r="119" spans="1:15">
      <c r="J119" s="121"/>
    </row>
    <row r="124" spans="1:15" ht="20.25">
      <c r="A124" s="299" t="s">
        <v>130</v>
      </c>
      <c r="B124" s="299"/>
      <c r="C124" s="299"/>
      <c r="D124" s="299"/>
      <c r="E124" s="299"/>
      <c r="F124" s="299"/>
      <c r="G124" s="299"/>
      <c r="H124" s="299"/>
      <c r="I124" s="68"/>
      <c r="J124" s="56"/>
      <c r="K124" s="68"/>
      <c r="L124" s="68"/>
      <c r="M124" s="68"/>
      <c r="N124" s="68"/>
      <c r="O124" s="68"/>
    </row>
    <row r="125" spans="1:15" ht="20.25">
      <c r="A125" s="319" t="s">
        <v>131</v>
      </c>
      <c r="B125" s="319"/>
      <c r="C125" s="319"/>
      <c r="D125" s="319"/>
      <c r="E125" s="319"/>
      <c r="F125" s="319"/>
      <c r="G125" s="319"/>
      <c r="H125" s="319"/>
      <c r="I125" s="175"/>
      <c r="J125" s="61"/>
      <c r="K125" s="104"/>
      <c r="L125" s="104"/>
      <c r="M125" s="104"/>
      <c r="N125" s="104"/>
      <c r="O125" s="104"/>
    </row>
    <row r="126" spans="1:15" ht="18.75">
      <c r="A126" s="105"/>
      <c r="B126" s="315" t="s">
        <v>97</v>
      </c>
      <c r="C126" s="315"/>
      <c r="D126" s="315"/>
      <c r="E126" s="315"/>
      <c r="F126" s="315"/>
      <c r="G126" s="315"/>
      <c r="H126" s="315"/>
      <c r="I126" s="151"/>
      <c r="J126" s="151"/>
    </row>
    <row r="127" spans="1:15" ht="31.5">
      <c r="A127" s="106" t="s">
        <v>2</v>
      </c>
      <c r="B127" s="140" t="s">
        <v>3</v>
      </c>
      <c r="C127" s="141" t="s">
        <v>4</v>
      </c>
      <c r="D127" s="142" t="s">
        <v>104</v>
      </c>
      <c r="E127" s="111" t="s">
        <v>105</v>
      </c>
      <c r="F127" s="4" t="s">
        <v>6</v>
      </c>
      <c r="G127" s="4" t="s">
        <v>9</v>
      </c>
      <c r="H127" s="108" t="s">
        <v>10</v>
      </c>
    </row>
    <row r="128" spans="1:15" ht="15.75">
      <c r="A128" s="105"/>
      <c r="B128" s="7" t="s">
        <v>39</v>
      </c>
      <c r="C128" s="7" t="s">
        <v>39</v>
      </c>
      <c r="D128" s="7" t="s">
        <v>39</v>
      </c>
      <c r="E128" s="7" t="s">
        <v>39</v>
      </c>
      <c r="F128" s="139" t="s">
        <v>39</v>
      </c>
      <c r="G128" s="139" t="s">
        <v>39</v>
      </c>
      <c r="H128" s="139" t="s">
        <v>39</v>
      </c>
    </row>
    <row r="129" spans="1:8" ht="15.75">
      <c r="A129" s="105" t="s">
        <v>124</v>
      </c>
      <c r="B129" s="113">
        <f>3915+16</f>
        <v>3931</v>
      </c>
      <c r="C129" s="135">
        <v>9</v>
      </c>
      <c r="D129" s="135">
        <v>2</v>
      </c>
      <c r="E129" s="114">
        <v>160</v>
      </c>
      <c r="F129" s="114">
        <v>15</v>
      </c>
      <c r="G129" s="114">
        <v>2</v>
      </c>
      <c r="H129" s="116">
        <f>SUM(B129:G129)</f>
        <v>4119</v>
      </c>
    </row>
    <row r="131" spans="1:8">
      <c r="A131" s="170"/>
    </row>
  </sheetData>
  <mergeCells count="31">
    <mergeCell ref="A1:I1"/>
    <mergeCell ref="A2:I2"/>
    <mergeCell ref="A13:I13"/>
    <mergeCell ref="A14:K14"/>
    <mergeCell ref="A58:I58"/>
    <mergeCell ref="K59:O59"/>
    <mergeCell ref="A68:H68"/>
    <mergeCell ref="A67:H67"/>
    <mergeCell ref="A25:I25"/>
    <mergeCell ref="A26:I26"/>
    <mergeCell ref="A80:I80"/>
    <mergeCell ref="B82:I82"/>
    <mergeCell ref="A81:I81"/>
    <mergeCell ref="A93:H93"/>
    <mergeCell ref="A94:H94"/>
    <mergeCell ref="A124:H124"/>
    <mergeCell ref="A125:H125"/>
    <mergeCell ref="B126:H126"/>
    <mergeCell ref="B3:I3"/>
    <mergeCell ref="B15:I15"/>
    <mergeCell ref="B27:H27"/>
    <mergeCell ref="B44:H44"/>
    <mergeCell ref="A42:H42"/>
    <mergeCell ref="A43:H43"/>
    <mergeCell ref="B59:H59"/>
    <mergeCell ref="A57:H57"/>
    <mergeCell ref="B69:H69"/>
    <mergeCell ref="B95:H95"/>
    <mergeCell ref="A110:H110"/>
    <mergeCell ref="A111:H111"/>
    <mergeCell ref="B112:H1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5090C-7486-45E4-A310-71C88CD35117}">
  <dimension ref="A1:P130"/>
  <sheetViews>
    <sheetView workbookViewId="0">
      <selection sqref="A1:I1"/>
    </sheetView>
  </sheetViews>
  <sheetFormatPr defaultRowHeight="15"/>
  <cols>
    <col min="1" max="1" width="40.42578125" customWidth="1"/>
    <col min="2" max="2" width="10.140625" customWidth="1"/>
    <col min="3" max="3" width="8.42578125" customWidth="1"/>
    <col min="4" max="4" width="12.140625" customWidth="1"/>
    <col min="5" max="5" width="9.85546875" customWidth="1"/>
    <col min="6" max="6" width="14.42578125" customWidth="1"/>
    <col min="7" max="7" width="10" customWidth="1"/>
    <col min="8" max="8" width="9.85546875" bestFit="1" customWidth="1"/>
    <col min="9" max="9" width="10.28515625" customWidth="1"/>
    <col min="10" max="10" width="10.85546875" customWidth="1"/>
    <col min="11" max="11" width="9.28515625" customWidth="1"/>
    <col min="12" max="12" width="7.28515625" customWidth="1"/>
    <col min="13" max="13" width="7.7109375" customWidth="1"/>
    <col min="14" max="14" width="9.28515625" customWidth="1"/>
    <col min="15" max="15" width="9.5703125" customWidth="1"/>
    <col min="16" max="16" width="9.5703125" bestFit="1" customWidth="1"/>
    <col min="18" max="18" width="9.5703125" bestFit="1" customWidth="1"/>
  </cols>
  <sheetData>
    <row r="1" spans="1:15" ht="20.25">
      <c r="A1" s="299" t="s">
        <v>137</v>
      </c>
      <c r="B1" s="299"/>
      <c r="C1" s="299"/>
      <c r="D1" s="299"/>
      <c r="E1" s="299"/>
      <c r="F1" s="299"/>
      <c r="G1" s="299"/>
      <c r="H1" s="299"/>
      <c r="I1" s="299"/>
      <c r="J1" s="68"/>
      <c r="K1" s="68"/>
      <c r="L1" s="68"/>
      <c r="M1" s="68"/>
      <c r="N1" s="68"/>
      <c r="O1" s="68"/>
    </row>
    <row r="2" spans="1:15" ht="20.25">
      <c r="A2" s="316" t="s">
        <v>102</v>
      </c>
      <c r="B2" s="316"/>
      <c r="C2" s="316"/>
      <c r="D2" s="316"/>
      <c r="E2" s="316"/>
      <c r="F2" s="316"/>
      <c r="G2" s="316"/>
      <c r="H2" s="316"/>
      <c r="I2" s="316"/>
      <c r="J2" s="174"/>
      <c r="K2" s="174"/>
      <c r="L2" s="104"/>
      <c r="M2" s="104"/>
      <c r="N2" s="104"/>
      <c r="O2" s="104"/>
    </row>
    <row r="3" spans="1:15" ht="18.75">
      <c r="A3" s="105"/>
      <c r="B3" s="315" t="s">
        <v>138</v>
      </c>
      <c r="C3" s="315"/>
      <c r="D3" s="315"/>
      <c r="E3" s="315"/>
      <c r="F3" s="315"/>
      <c r="G3" s="315"/>
      <c r="H3" s="315"/>
      <c r="I3" s="315"/>
      <c r="J3" s="151"/>
      <c r="K3" s="151"/>
    </row>
    <row r="4" spans="1:15" ht="57">
      <c r="A4" s="106" t="s">
        <v>2</v>
      </c>
      <c r="B4" s="107" t="s">
        <v>3</v>
      </c>
      <c r="C4" s="108" t="s">
        <v>4</v>
      </c>
      <c r="D4" s="109" t="s">
        <v>104</v>
      </c>
      <c r="E4" s="110" t="s">
        <v>7</v>
      </c>
      <c r="F4" s="4" t="s">
        <v>6</v>
      </c>
      <c r="G4" s="111" t="s">
        <v>105</v>
      </c>
      <c r="H4" s="4" t="s">
        <v>9</v>
      </c>
      <c r="I4" s="108" t="s">
        <v>10</v>
      </c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7" t="s">
        <v>12</v>
      </c>
    </row>
    <row r="6" spans="1:15">
      <c r="A6" s="112" t="s">
        <v>139</v>
      </c>
      <c r="B6" s="128">
        <f>(3130*1.03)+100</f>
        <v>3323.9</v>
      </c>
      <c r="C6" s="114">
        <v>80</v>
      </c>
      <c r="D6" s="114">
        <v>20</v>
      </c>
      <c r="E6" s="114">
        <v>220</v>
      </c>
      <c r="F6" s="114">
        <v>120</v>
      </c>
      <c r="G6" s="115">
        <v>2000</v>
      </c>
      <c r="H6" s="115">
        <v>13</v>
      </c>
      <c r="I6" s="116">
        <f>SUM(B6:H6)</f>
        <v>5776.9</v>
      </c>
    </row>
    <row r="7" spans="1:15">
      <c r="A7" s="112" t="s">
        <v>106</v>
      </c>
      <c r="B7" s="128">
        <f>(3130*1.03)+100</f>
        <v>3323.9</v>
      </c>
      <c r="C7" s="114">
        <v>80</v>
      </c>
      <c r="D7" s="114">
        <v>20</v>
      </c>
      <c r="E7" s="114">
        <v>0</v>
      </c>
      <c r="F7" s="114">
        <v>120</v>
      </c>
      <c r="G7" s="115">
        <v>2000</v>
      </c>
      <c r="H7" s="115">
        <v>13</v>
      </c>
      <c r="I7" s="116">
        <f>SUM(B7:H7)</f>
        <v>5556.9</v>
      </c>
    </row>
    <row r="8" spans="1:15">
      <c r="A8" s="112" t="s">
        <v>107</v>
      </c>
      <c r="B8" s="128">
        <f>(4826*1.06)+100</f>
        <v>5215.5600000000004</v>
      </c>
      <c r="C8" s="114">
        <v>80</v>
      </c>
      <c r="D8" s="114">
        <v>20</v>
      </c>
      <c r="E8" s="115">
        <v>0</v>
      </c>
      <c r="F8" s="114">
        <v>120</v>
      </c>
      <c r="G8" s="115">
        <v>2000</v>
      </c>
      <c r="H8" s="115">
        <v>13</v>
      </c>
      <c r="I8" s="116">
        <f>SUM(B8:H8)</f>
        <v>7448.56</v>
      </c>
    </row>
    <row r="10" spans="1:15">
      <c r="A10" s="160"/>
      <c r="M10" s="117"/>
    </row>
    <row r="11" spans="1:15">
      <c r="M11" s="117"/>
    </row>
    <row r="12" spans="1:15">
      <c r="M12" s="117"/>
    </row>
    <row r="13" spans="1:15">
      <c r="M13" s="117"/>
    </row>
    <row r="14" spans="1:15" ht="20.25">
      <c r="A14" s="299" t="s">
        <v>137</v>
      </c>
      <c r="B14" s="299"/>
      <c r="C14" s="299"/>
      <c r="D14" s="299"/>
      <c r="E14" s="299"/>
      <c r="F14" s="299"/>
      <c r="G14" s="299"/>
      <c r="H14" s="299"/>
      <c r="I14" s="299"/>
      <c r="J14" s="68"/>
      <c r="K14" s="68"/>
      <c r="L14" s="68"/>
      <c r="M14" s="68"/>
      <c r="N14" s="68"/>
      <c r="O14" s="68"/>
    </row>
    <row r="15" spans="1:15" ht="20.25">
      <c r="A15" s="318" t="s">
        <v>108</v>
      </c>
      <c r="B15" s="318"/>
      <c r="C15" s="318"/>
      <c r="D15" s="318"/>
      <c r="E15" s="318"/>
      <c r="F15" s="318"/>
      <c r="G15" s="318"/>
      <c r="H15" s="318"/>
      <c r="I15" s="318"/>
      <c r="J15" s="152"/>
      <c r="K15" s="152"/>
      <c r="L15" s="104"/>
      <c r="M15" s="104"/>
      <c r="N15" s="104"/>
      <c r="O15" s="104"/>
    </row>
    <row r="16" spans="1:15" ht="18.75">
      <c r="A16" s="105"/>
      <c r="B16" s="315" t="s">
        <v>138</v>
      </c>
      <c r="C16" s="315"/>
      <c r="D16" s="315"/>
      <c r="E16" s="315"/>
      <c r="F16" s="315"/>
      <c r="G16" s="315"/>
      <c r="H16" s="315"/>
      <c r="I16" s="315"/>
      <c r="J16" s="151"/>
      <c r="K16" s="151"/>
    </row>
    <row r="17" spans="1:15" ht="57">
      <c r="A17" s="106" t="s">
        <v>2</v>
      </c>
      <c r="B17" s="107" t="s">
        <v>3</v>
      </c>
      <c r="C17" s="108" t="s">
        <v>4</v>
      </c>
      <c r="D17" s="109" t="s">
        <v>104</v>
      </c>
      <c r="E17" s="110" t="s">
        <v>7</v>
      </c>
      <c r="F17" s="4" t="s">
        <v>6</v>
      </c>
      <c r="G17" s="111" t="s">
        <v>105</v>
      </c>
      <c r="H17" s="4" t="s">
        <v>9</v>
      </c>
      <c r="I17" s="108" t="s">
        <v>10</v>
      </c>
    </row>
    <row r="18" spans="1:15" ht="15.75">
      <c r="A18" s="105"/>
      <c r="B18" s="7" t="s">
        <v>12</v>
      </c>
      <c r="C18" s="7" t="s">
        <v>12</v>
      </c>
      <c r="D18" s="7" t="s">
        <v>12</v>
      </c>
      <c r="E18" s="7" t="s">
        <v>12</v>
      </c>
      <c r="F18" s="7" t="s">
        <v>12</v>
      </c>
      <c r="G18" s="7" t="s">
        <v>12</v>
      </c>
      <c r="H18" s="7" t="s">
        <v>12</v>
      </c>
      <c r="I18" s="7" t="s">
        <v>12</v>
      </c>
    </row>
    <row r="19" spans="1:15">
      <c r="A19" s="112" t="s">
        <v>109</v>
      </c>
      <c r="B19" s="128">
        <f>(3823*1.06)+100</f>
        <v>4152.38</v>
      </c>
      <c r="C19" s="114">
        <v>80</v>
      </c>
      <c r="D19" s="114">
        <v>20</v>
      </c>
      <c r="E19" s="114">
        <v>0</v>
      </c>
      <c r="F19" s="114">
        <v>120</v>
      </c>
      <c r="G19" s="115">
        <v>2500</v>
      </c>
      <c r="H19" s="115">
        <v>13</v>
      </c>
      <c r="I19" s="116">
        <f>SUM(B19:H19)</f>
        <v>6885.38</v>
      </c>
    </row>
    <row r="20" spans="1:15">
      <c r="A20" s="112" t="s">
        <v>140</v>
      </c>
      <c r="B20" s="128">
        <f>(2985*1.06)+100</f>
        <v>3264.1000000000004</v>
      </c>
      <c r="C20" s="114">
        <v>80</v>
      </c>
      <c r="D20" s="114">
        <v>20</v>
      </c>
      <c r="E20" s="114">
        <v>220</v>
      </c>
      <c r="F20" s="114">
        <v>120</v>
      </c>
      <c r="G20" s="115">
        <v>1500</v>
      </c>
      <c r="H20" s="115">
        <v>13</v>
      </c>
      <c r="I20" s="116">
        <f>SUM(B20:H20)</f>
        <v>5217.1000000000004</v>
      </c>
    </row>
    <row r="21" spans="1:15" ht="30">
      <c r="A21" s="162" t="s">
        <v>141</v>
      </c>
      <c r="B21" s="113">
        <f>(3135*1.06)+100</f>
        <v>3423.1000000000004</v>
      </c>
      <c r="C21" s="135">
        <v>80</v>
      </c>
      <c r="D21" s="135">
        <v>20</v>
      </c>
      <c r="E21" s="135">
        <v>220</v>
      </c>
      <c r="F21" s="114">
        <v>120</v>
      </c>
      <c r="G21" s="115">
        <v>1500</v>
      </c>
      <c r="H21" s="115">
        <v>13</v>
      </c>
      <c r="I21" s="116">
        <f>SUM(B21:H21)</f>
        <v>5376.1</v>
      </c>
    </row>
    <row r="22" spans="1:15">
      <c r="A22" s="164"/>
      <c r="B22" s="166"/>
      <c r="C22" s="119"/>
      <c r="D22" s="119"/>
      <c r="E22" s="119"/>
      <c r="F22" s="119"/>
      <c r="G22" s="119"/>
      <c r="H22" s="119"/>
      <c r="I22" s="159"/>
      <c r="J22" s="159"/>
      <c r="K22" s="121"/>
    </row>
    <row r="23" spans="1:15">
      <c r="A23" s="164"/>
      <c r="B23" s="166"/>
      <c r="C23" s="119"/>
      <c r="D23" s="119"/>
      <c r="E23" s="119"/>
      <c r="F23" s="119"/>
      <c r="G23" s="119"/>
      <c r="H23" s="119"/>
      <c r="I23" s="159"/>
      <c r="J23" s="159"/>
      <c r="K23" s="121"/>
    </row>
    <row r="24" spans="1:15">
      <c r="A24" s="160"/>
      <c r="M24" s="117"/>
    </row>
    <row r="25" spans="1:15">
      <c r="M25" s="117"/>
    </row>
    <row r="26" spans="1:15">
      <c r="M26" s="117"/>
    </row>
    <row r="27" spans="1:15">
      <c r="M27" s="117"/>
    </row>
    <row r="28" spans="1:15" ht="20.25">
      <c r="A28" s="299" t="s">
        <v>137</v>
      </c>
      <c r="B28" s="299"/>
      <c r="C28" s="299"/>
      <c r="D28" s="299"/>
      <c r="E28" s="299"/>
      <c r="F28" s="299"/>
      <c r="G28" s="299"/>
      <c r="H28" s="299"/>
      <c r="I28" s="68"/>
      <c r="J28" s="56"/>
      <c r="K28" s="68"/>
      <c r="L28" s="68"/>
      <c r="M28" s="68"/>
      <c r="N28" s="68"/>
      <c r="O28" s="68"/>
    </row>
    <row r="29" spans="1:15" ht="20.25">
      <c r="A29" s="318" t="s">
        <v>110</v>
      </c>
      <c r="B29" s="318"/>
      <c r="C29" s="318"/>
      <c r="D29" s="318"/>
      <c r="E29" s="318"/>
      <c r="F29" s="318"/>
      <c r="G29" s="318"/>
      <c r="H29" s="318"/>
      <c r="I29" s="184"/>
      <c r="J29" s="62"/>
      <c r="K29" s="104"/>
      <c r="L29" s="104"/>
      <c r="M29" s="104"/>
      <c r="N29" s="104"/>
      <c r="O29" s="104"/>
    </row>
    <row r="30" spans="1:15" ht="18.75">
      <c r="A30" s="105"/>
      <c r="B30" s="315" t="s">
        <v>138</v>
      </c>
      <c r="C30" s="315"/>
      <c r="D30" s="315"/>
      <c r="E30" s="315"/>
      <c r="F30" s="315"/>
      <c r="G30" s="315"/>
      <c r="H30" s="315"/>
      <c r="I30" s="151"/>
      <c r="J30" s="151"/>
    </row>
    <row r="31" spans="1:15" ht="57">
      <c r="A31" s="106" t="s">
        <v>2</v>
      </c>
      <c r="B31" s="107" t="s">
        <v>3</v>
      </c>
      <c r="C31" s="122" t="s">
        <v>4</v>
      </c>
      <c r="D31" s="109" t="s">
        <v>104</v>
      </c>
      <c r="E31" s="111" t="s">
        <v>105</v>
      </c>
      <c r="F31" s="4" t="s">
        <v>6</v>
      </c>
      <c r="G31" s="4" t="s">
        <v>9</v>
      </c>
      <c r="H31" s="108" t="s">
        <v>10</v>
      </c>
    </row>
    <row r="32" spans="1:15" ht="15.75">
      <c r="A32" s="105"/>
      <c r="B32" s="7" t="s">
        <v>12</v>
      </c>
      <c r="C32" s="7" t="s">
        <v>12</v>
      </c>
      <c r="D32" s="7" t="s">
        <v>12</v>
      </c>
      <c r="E32" s="7" t="s">
        <v>12</v>
      </c>
      <c r="F32" s="7" t="s">
        <v>12</v>
      </c>
      <c r="G32" s="7" t="s">
        <v>12</v>
      </c>
      <c r="H32" s="7" t="s">
        <v>12</v>
      </c>
    </row>
    <row r="33" spans="1:16" ht="15.75">
      <c r="A33" s="123" t="s">
        <v>111</v>
      </c>
      <c r="B33" s="143">
        <f>(4163*1.06)+100</f>
        <v>4512.7800000000007</v>
      </c>
      <c r="C33" s="114">
        <v>80</v>
      </c>
      <c r="D33" s="114">
        <v>20</v>
      </c>
      <c r="E33" s="115">
        <f>800*1.05</f>
        <v>840</v>
      </c>
      <c r="F33" s="115">
        <v>120</v>
      </c>
      <c r="G33" s="172">
        <v>13</v>
      </c>
      <c r="H33" s="116">
        <f t="shared" ref="H33:H39" si="0">SUM(B33:G33)</f>
        <v>5585.7800000000007</v>
      </c>
      <c r="N33" s="138"/>
      <c r="O33" s="124"/>
      <c r="P33" s="120"/>
    </row>
    <row r="34" spans="1:16" ht="15.75">
      <c r="A34" s="123" t="s">
        <v>112</v>
      </c>
      <c r="B34" s="143">
        <f>(3406*1.03)+100</f>
        <v>3608.1800000000003</v>
      </c>
      <c r="C34" s="114">
        <v>80</v>
      </c>
      <c r="D34" s="114">
        <v>20</v>
      </c>
      <c r="E34" s="115">
        <f t="shared" ref="E34:E39" si="1">800*1.05</f>
        <v>840</v>
      </c>
      <c r="F34" s="115">
        <v>120</v>
      </c>
      <c r="G34" s="172">
        <v>13</v>
      </c>
      <c r="H34" s="116">
        <f t="shared" si="0"/>
        <v>4681.18</v>
      </c>
      <c r="N34" s="138"/>
      <c r="O34" s="124"/>
      <c r="P34" s="120"/>
    </row>
    <row r="35" spans="1:16" ht="15.75">
      <c r="A35" s="123" t="s">
        <v>113</v>
      </c>
      <c r="B35" s="143">
        <f>(3406*1.03)+100</f>
        <v>3608.1800000000003</v>
      </c>
      <c r="C35" s="114">
        <v>80</v>
      </c>
      <c r="D35" s="114">
        <v>20</v>
      </c>
      <c r="E35" s="115">
        <f t="shared" si="1"/>
        <v>840</v>
      </c>
      <c r="F35" s="115">
        <v>120</v>
      </c>
      <c r="G35" s="172">
        <v>13</v>
      </c>
      <c r="H35" s="116">
        <f t="shared" si="0"/>
        <v>4681.18</v>
      </c>
      <c r="N35" s="138"/>
      <c r="O35" s="124"/>
      <c r="P35" s="120"/>
    </row>
    <row r="36" spans="1:16" ht="15.75">
      <c r="A36" s="123" t="s">
        <v>114</v>
      </c>
      <c r="B36" s="143">
        <f>(4163*1.03)+100</f>
        <v>4387.8900000000003</v>
      </c>
      <c r="C36" s="114">
        <v>80</v>
      </c>
      <c r="D36" s="114">
        <v>20</v>
      </c>
      <c r="E36" s="115">
        <f t="shared" si="1"/>
        <v>840</v>
      </c>
      <c r="F36" s="115">
        <v>120</v>
      </c>
      <c r="G36" s="172">
        <v>13</v>
      </c>
      <c r="H36" s="116">
        <f t="shared" si="0"/>
        <v>5460.89</v>
      </c>
      <c r="N36" s="138"/>
      <c r="O36" s="124"/>
      <c r="P36" s="120"/>
    </row>
    <row r="37" spans="1:16" ht="15.75">
      <c r="A37" s="123" t="s">
        <v>115</v>
      </c>
      <c r="B37" s="143">
        <f>(3406*1.03)+100</f>
        <v>3608.1800000000003</v>
      </c>
      <c r="C37" s="114">
        <v>80</v>
      </c>
      <c r="D37" s="114">
        <v>20</v>
      </c>
      <c r="E37" s="115">
        <f t="shared" si="1"/>
        <v>840</v>
      </c>
      <c r="F37" s="115">
        <v>120</v>
      </c>
      <c r="G37" s="172">
        <v>13</v>
      </c>
      <c r="H37" s="116">
        <f t="shared" si="0"/>
        <v>4681.18</v>
      </c>
      <c r="N37" s="138"/>
      <c r="O37" s="124"/>
      <c r="P37" s="120"/>
    </row>
    <row r="38" spans="1:16" ht="15.75">
      <c r="A38" s="123" t="s">
        <v>116</v>
      </c>
      <c r="B38" s="143">
        <f>(3406*1.03)+100</f>
        <v>3608.1800000000003</v>
      </c>
      <c r="C38" s="114">
        <v>80</v>
      </c>
      <c r="D38" s="114">
        <v>20</v>
      </c>
      <c r="E38" s="115">
        <f t="shared" si="1"/>
        <v>840</v>
      </c>
      <c r="F38" s="115">
        <v>120</v>
      </c>
      <c r="G38" s="172">
        <v>13</v>
      </c>
      <c r="H38" s="116">
        <f t="shared" si="0"/>
        <v>4681.18</v>
      </c>
      <c r="N38" s="138"/>
      <c r="O38" s="124"/>
      <c r="P38" s="120"/>
    </row>
    <row r="39" spans="1:16" ht="15.75">
      <c r="A39" s="123" t="s">
        <v>117</v>
      </c>
      <c r="B39" s="143">
        <f>(3406*1.03)+100</f>
        <v>3608.1800000000003</v>
      </c>
      <c r="C39" s="114">
        <v>80</v>
      </c>
      <c r="D39" s="114">
        <v>20</v>
      </c>
      <c r="E39" s="115">
        <f t="shared" si="1"/>
        <v>840</v>
      </c>
      <c r="F39" s="115">
        <v>120</v>
      </c>
      <c r="G39" s="172">
        <v>13</v>
      </c>
      <c r="H39" s="116">
        <f t="shared" si="0"/>
        <v>4681.18</v>
      </c>
      <c r="N39" s="138"/>
      <c r="O39" s="124"/>
      <c r="P39" s="120"/>
    </row>
    <row r="40" spans="1:16" ht="15.75">
      <c r="A40" s="9"/>
      <c r="B40" s="120"/>
      <c r="C40" s="119"/>
      <c r="D40" s="119"/>
      <c r="E40" s="119"/>
      <c r="G40" s="120"/>
      <c r="H40" s="120"/>
      <c r="I40" s="126"/>
      <c r="J40" s="126"/>
      <c r="K40" s="120"/>
      <c r="L40" s="119"/>
      <c r="M40" s="119"/>
      <c r="N40" s="120"/>
      <c r="O40" s="127"/>
    </row>
    <row r="41" spans="1:16" ht="15.75">
      <c r="A41" s="160"/>
      <c r="L41" s="130"/>
      <c r="M41" s="130"/>
      <c r="N41" s="129"/>
      <c r="O41" s="127"/>
    </row>
    <row r="42" spans="1:16">
      <c r="M42" s="117"/>
    </row>
    <row r="43" spans="1:16">
      <c r="M43" s="117"/>
    </row>
    <row r="44" spans="1:16">
      <c r="M44" s="117"/>
    </row>
    <row r="45" spans="1:16">
      <c r="M45" s="117"/>
    </row>
    <row r="46" spans="1:16" ht="20.25">
      <c r="A46" s="299" t="s">
        <v>142</v>
      </c>
      <c r="B46" s="299"/>
      <c r="C46" s="299"/>
      <c r="D46" s="299"/>
      <c r="E46" s="299"/>
      <c r="F46" s="299"/>
      <c r="G46" s="299"/>
      <c r="H46" s="299"/>
      <c r="I46" s="68"/>
      <c r="J46" s="56"/>
      <c r="K46" s="68"/>
      <c r="L46" s="68"/>
      <c r="M46" s="68"/>
      <c r="N46" s="68"/>
      <c r="O46" s="68"/>
    </row>
    <row r="47" spans="1:16" ht="20.25">
      <c r="A47" s="316" t="s">
        <v>118</v>
      </c>
      <c r="B47" s="316"/>
      <c r="C47" s="316"/>
      <c r="D47" s="316"/>
      <c r="E47" s="316"/>
      <c r="F47" s="316"/>
      <c r="G47" s="316"/>
      <c r="H47" s="316"/>
      <c r="I47" s="174"/>
      <c r="J47" s="167"/>
      <c r="K47" s="104"/>
      <c r="L47" s="104"/>
      <c r="M47" s="104"/>
      <c r="N47" s="104"/>
      <c r="O47" s="104"/>
    </row>
    <row r="48" spans="1:16" ht="18.75">
      <c r="A48" s="105"/>
      <c r="B48" s="315" t="s">
        <v>138</v>
      </c>
      <c r="C48" s="315"/>
      <c r="D48" s="315"/>
      <c r="E48" s="315"/>
      <c r="F48" s="315"/>
      <c r="G48" s="315"/>
      <c r="H48" s="315"/>
      <c r="I48" s="151"/>
      <c r="J48" s="151"/>
    </row>
    <row r="49" spans="1:15" ht="57">
      <c r="A49" s="106" t="s">
        <v>2</v>
      </c>
      <c r="B49" s="107" t="s">
        <v>3</v>
      </c>
      <c r="C49" s="108" t="s">
        <v>4</v>
      </c>
      <c r="D49" s="109" t="s">
        <v>104</v>
      </c>
      <c r="E49" s="111" t="s">
        <v>105</v>
      </c>
      <c r="F49" s="4" t="s">
        <v>6</v>
      </c>
      <c r="G49" s="4" t="s">
        <v>9</v>
      </c>
      <c r="H49" s="108" t="s">
        <v>10</v>
      </c>
    </row>
    <row r="50" spans="1:15" ht="15.75">
      <c r="A50" s="105"/>
      <c r="B50" s="7" t="s">
        <v>12</v>
      </c>
      <c r="C50" s="7" t="s">
        <v>12</v>
      </c>
      <c r="D50" s="7" t="s">
        <v>12</v>
      </c>
      <c r="E50" s="7" t="s">
        <v>12</v>
      </c>
      <c r="F50" s="7" t="s">
        <v>12</v>
      </c>
      <c r="G50" s="7" t="s">
        <v>12</v>
      </c>
      <c r="H50" s="7" t="s">
        <v>12</v>
      </c>
    </row>
    <row r="51" spans="1:15" ht="15.75">
      <c r="A51" s="123" t="s">
        <v>119</v>
      </c>
      <c r="B51" s="143">
        <f>(4302*1.03)+100</f>
        <v>4531.0600000000004</v>
      </c>
      <c r="C51" s="185">
        <v>80</v>
      </c>
      <c r="D51" s="185">
        <v>20</v>
      </c>
      <c r="E51" s="186">
        <v>600</v>
      </c>
      <c r="F51" s="186">
        <v>120</v>
      </c>
      <c r="G51" s="185">
        <v>13</v>
      </c>
      <c r="H51" s="176">
        <f>SUM(B51:G51)</f>
        <v>5364.06</v>
      </c>
    </row>
    <row r="52" spans="1:15" ht="15.75">
      <c r="A52" s="123" t="s">
        <v>121</v>
      </c>
      <c r="B52" s="143">
        <f>(3228*1.03)+100</f>
        <v>3424.84</v>
      </c>
      <c r="C52" s="185">
        <v>80</v>
      </c>
      <c r="D52" s="185">
        <v>20</v>
      </c>
      <c r="E52" s="185">
        <v>0</v>
      </c>
      <c r="F52" s="186">
        <v>120</v>
      </c>
      <c r="G52" s="185">
        <v>13</v>
      </c>
      <c r="H52" s="176">
        <f>SUM(B52:G52)</f>
        <v>3657.84</v>
      </c>
    </row>
    <row r="53" spans="1:15" ht="15.75">
      <c r="A53" s="123" t="s">
        <v>122</v>
      </c>
      <c r="B53" s="143">
        <f>(3228*1.03)+100</f>
        <v>3424.84</v>
      </c>
      <c r="C53" s="185">
        <v>80</v>
      </c>
      <c r="D53" s="185">
        <v>20</v>
      </c>
      <c r="E53" s="185">
        <v>0</v>
      </c>
      <c r="F53" s="186">
        <v>120</v>
      </c>
      <c r="G53" s="185">
        <v>13</v>
      </c>
      <c r="H53" s="176">
        <f>SUM(B53:G53)</f>
        <v>3657.84</v>
      </c>
    </row>
    <row r="54" spans="1:15" ht="15.75">
      <c r="A54" s="9"/>
      <c r="B54" s="129"/>
      <c r="C54" s="130"/>
      <c r="D54" s="130"/>
      <c r="E54" s="130"/>
      <c r="F54" s="130"/>
      <c r="G54" s="129"/>
      <c r="H54" s="129"/>
      <c r="I54" s="126"/>
      <c r="J54" s="126"/>
      <c r="K54" s="129"/>
      <c r="L54" s="130"/>
      <c r="M54" s="130"/>
      <c r="N54" s="130"/>
      <c r="O54" s="127"/>
    </row>
    <row r="55" spans="1:15" ht="15.75">
      <c r="B55" s="129"/>
      <c r="C55" s="130"/>
      <c r="D55" s="130"/>
      <c r="E55" s="130"/>
      <c r="F55" s="130"/>
      <c r="G55" s="129"/>
      <c r="H55" s="129"/>
      <c r="I55" s="126"/>
      <c r="J55" s="126"/>
      <c r="K55" s="129"/>
      <c r="L55" s="130"/>
      <c r="M55" s="130"/>
      <c r="N55" s="130"/>
      <c r="O55" s="127"/>
    </row>
    <row r="56" spans="1:15" ht="15.75">
      <c r="B56" s="129"/>
      <c r="C56" s="130"/>
      <c r="D56" s="130"/>
      <c r="E56" s="130"/>
      <c r="F56" s="130"/>
      <c r="G56" s="129"/>
      <c r="H56" s="129"/>
      <c r="I56" s="126"/>
      <c r="J56" s="126"/>
      <c r="K56" s="129"/>
      <c r="L56" s="130"/>
      <c r="M56" s="130"/>
      <c r="N56" s="130"/>
      <c r="O56" s="127"/>
    </row>
    <row r="57" spans="1:15" ht="15.75">
      <c r="B57" s="129"/>
      <c r="C57" s="130"/>
      <c r="D57" s="130"/>
      <c r="E57" s="130"/>
      <c r="F57" s="130"/>
      <c r="G57" s="129"/>
      <c r="H57" s="129"/>
      <c r="I57" s="126"/>
      <c r="J57" s="126"/>
      <c r="K57" s="129"/>
      <c r="L57" s="130"/>
      <c r="M57" s="130"/>
      <c r="N57" s="130"/>
      <c r="O57" s="127"/>
    </row>
    <row r="58" spans="1:15" ht="15.75">
      <c r="B58" s="129"/>
      <c r="C58" s="130"/>
      <c r="D58" s="130"/>
      <c r="E58" s="130"/>
      <c r="F58" s="130"/>
      <c r="G58" s="129"/>
      <c r="H58" s="129"/>
      <c r="I58" s="126"/>
      <c r="J58" s="126"/>
      <c r="K58" s="129"/>
      <c r="L58" s="130"/>
      <c r="M58" s="130"/>
      <c r="N58" s="130"/>
      <c r="O58" s="127"/>
    </row>
    <row r="59" spans="1:15" ht="15.75">
      <c r="B59" s="129"/>
      <c r="C59" s="130"/>
      <c r="D59" s="130"/>
      <c r="E59" s="130"/>
      <c r="F59" s="130"/>
      <c r="G59" s="129"/>
      <c r="H59" s="129"/>
      <c r="I59" s="126"/>
      <c r="J59" s="126"/>
      <c r="K59" s="129"/>
      <c r="L59" s="130"/>
      <c r="M59" s="130"/>
      <c r="N59" s="130"/>
      <c r="O59" s="127"/>
    </row>
    <row r="60" spans="1:15" ht="20.25">
      <c r="A60" s="299" t="s">
        <v>137</v>
      </c>
      <c r="B60" s="299"/>
      <c r="C60" s="299"/>
      <c r="D60" s="299"/>
      <c r="E60" s="299"/>
      <c r="F60" s="299"/>
      <c r="G60" s="299"/>
      <c r="H60" s="299"/>
      <c r="I60" s="68"/>
      <c r="J60" s="56"/>
      <c r="K60" s="68"/>
      <c r="L60" s="68"/>
      <c r="M60" s="68"/>
      <c r="N60" s="68"/>
      <c r="O60" s="68"/>
    </row>
    <row r="61" spans="1:15" ht="20.25">
      <c r="A61" s="319" t="s">
        <v>123</v>
      </c>
      <c r="B61" s="319"/>
      <c r="C61" s="319"/>
      <c r="D61" s="319"/>
      <c r="E61" s="319"/>
      <c r="F61" s="319"/>
      <c r="G61" s="319"/>
      <c r="H61" s="319"/>
      <c r="I61" s="175"/>
      <c r="J61" s="61"/>
      <c r="K61" s="104"/>
      <c r="L61" s="104"/>
      <c r="M61" s="104"/>
      <c r="N61" s="104"/>
      <c r="O61" s="104"/>
    </row>
    <row r="62" spans="1:15" ht="18.75">
      <c r="A62" s="105"/>
      <c r="B62" s="315" t="s">
        <v>138</v>
      </c>
      <c r="C62" s="315"/>
      <c r="D62" s="315"/>
      <c r="E62" s="315"/>
      <c r="F62" s="315"/>
      <c r="G62" s="315"/>
      <c r="H62" s="315"/>
      <c r="I62" s="151"/>
      <c r="J62" s="151"/>
    </row>
    <row r="63" spans="1:15" ht="57">
      <c r="A63" s="106" t="s">
        <v>2</v>
      </c>
      <c r="B63" s="107" t="s">
        <v>3</v>
      </c>
      <c r="C63" s="108" t="s">
        <v>4</v>
      </c>
      <c r="D63" s="109" t="s">
        <v>104</v>
      </c>
      <c r="E63" s="111" t="s">
        <v>105</v>
      </c>
      <c r="F63" s="4" t="s">
        <v>6</v>
      </c>
      <c r="G63" s="4" t="s">
        <v>9</v>
      </c>
      <c r="H63" s="108" t="s">
        <v>10</v>
      </c>
    </row>
    <row r="64" spans="1:15" ht="15.75">
      <c r="A64" s="105"/>
      <c r="B64" s="7" t="s">
        <v>12</v>
      </c>
      <c r="C64" s="7" t="s">
        <v>12</v>
      </c>
      <c r="D64" s="7" t="s">
        <v>12</v>
      </c>
      <c r="E64" s="7" t="s">
        <v>12</v>
      </c>
      <c r="F64" s="7" t="s">
        <v>12</v>
      </c>
      <c r="G64" s="7" t="s">
        <v>12</v>
      </c>
      <c r="H64" s="7" t="s">
        <v>12</v>
      </c>
    </row>
    <row r="65" spans="1:15" ht="15.75">
      <c r="A65" s="123" t="s">
        <v>124</v>
      </c>
      <c r="B65" s="134">
        <f>(5298*1.06)+100</f>
        <v>5715.88</v>
      </c>
      <c r="C65" s="114">
        <v>80</v>
      </c>
      <c r="D65" s="114">
        <v>20</v>
      </c>
      <c r="E65" s="136">
        <v>1500</v>
      </c>
      <c r="F65" s="136">
        <v>120</v>
      </c>
      <c r="G65" s="114">
        <v>13</v>
      </c>
      <c r="H65" s="116">
        <f>SUM(B65:G65)</f>
        <v>7448.88</v>
      </c>
      <c r="L65" s="124"/>
    </row>
    <row r="66" spans="1:15" ht="15.75">
      <c r="A66" s="9"/>
      <c r="B66" s="129"/>
      <c r="C66" s="130"/>
      <c r="D66" s="130"/>
      <c r="E66" s="130"/>
      <c r="F66" s="130"/>
      <c r="G66" s="129"/>
      <c r="H66" s="129"/>
      <c r="I66" s="126"/>
      <c r="J66" s="126"/>
      <c r="K66" s="129"/>
      <c r="L66" s="130"/>
      <c r="M66" s="130"/>
      <c r="N66" s="129"/>
      <c r="O66" s="127"/>
    </row>
    <row r="67" spans="1:15" ht="15.75">
      <c r="A67" s="9"/>
      <c r="B67" s="129"/>
      <c r="C67" s="130"/>
      <c r="D67" s="130"/>
      <c r="E67" s="130"/>
      <c r="F67" s="130"/>
      <c r="G67" s="129"/>
      <c r="H67" s="129"/>
      <c r="I67" s="126"/>
      <c r="J67" s="126"/>
      <c r="K67" s="129"/>
      <c r="L67" s="130"/>
      <c r="M67" s="130"/>
      <c r="N67" s="129"/>
      <c r="O67" s="127"/>
    </row>
    <row r="68" spans="1:15" ht="15.75">
      <c r="A68" s="9"/>
      <c r="B68" s="129"/>
      <c r="C68" s="130"/>
      <c r="D68" s="130"/>
      <c r="E68" s="130"/>
      <c r="F68" s="130"/>
      <c r="G68" s="129"/>
      <c r="H68" s="129"/>
      <c r="I68" s="126"/>
      <c r="J68" s="126"/>
      <c r="K68" s="129"/>
      <c r="L68" s="130"/>
      <c r="M68" s="130"/>
      <c r="N68" s="129"/>
      <c r="O68" s="127"/>
    </row>
    <row r="69" spans="1:15" ht="15.75">
      <c r="A69" s="9"/>
      <c r="B69" s="129"/>
      <c r="C69" s="130"/>
      <c r="D69" s="130"/>
      <c r="E69" s="130"/>
      <c r="F69" s="130"/>
      <c r="G69" s="129"/>
      <c r="H69" s="129"/>
      <c r="I69" s="126"/>
      <c r="J69" s="126"/>
      <c r="K69" s="129"/>
      <c r="L69" s="130"/>
      <c r="M69" s="130"/>
      <c r="N69" s="129"/>
      <c r="O69" s="127"/>
    </row>
    <row r="70" spans="1:15" ht="15.75">
      <c r="A70" s="9"/>
      <c r="B70" s="129"/>
      <c r="C70" s="130"/>
      <c r="D70" s="130"/>
      <c r="E70" s="130"/>
      <c r="F70" s="130"/>
      <c r="G70" s="129"/>
      <c r="H70" s="129"/>
      <c r="I70" s="126"/>
      <c r="J70" s="126"/>
      <c r="K70" s="129"/>
      <c r="L70" s="130"/>
      <c r="M70" s="130"/>
      <c r="N70" s="129"/>
      <c r="O70" s="127"/>
    </row>
    <row r="72" spans="1:15" ht="20.25">
      <c r="A72" s="299" t="s">
        <v>137</v>
      </c>
      <c r="B72" s="299"/>
      <c r="C72" s="299"/>
      <c r="D72" s="299"/>
      <c r="E72" s="299"/>
      <c r="F72" s="299"/>
      <c r="G72" s="299"/>
      <c r="H72" s="299"/>
      <c r="I72" s="299"/>
      <c r="J72" s="56"/>
      <c r="K72" s="68"/>
      <c r="L72" s="68"/>
      <c r="M72" s="68"/>
      <c r="N72" s="68"/>
      <c r="O72" s="68"/>
    </row>
    <row r="73" spans="1:15" ht="20.25">
      <c r="A73" s="316" t="s">
        <v>125</v>
      </c>
      <c r="B73" s="327"/>
      <c r="C73" s="327"/>
      <c r="D73" s="327"/>
      <c r="E73" s="327"/>
      <c r="F73" s="327"/>
      <c r="G73" s="327"/>
      <c r="H73" s="327"/>
      <c r="I73" s="327"/>
      <c r="J73" s="167"/>
      <c r="K73" s="104"/>
      <c r="L73" s="104"/>
      <c r="M73" s="104"/>
      <c r="N73" s="104"/>
      <c r="O73" s="104"/>
    </row>
    <row r="74" spans="1:15" ht="18.75">
      <c r="A74" s="105"/>
      <c r="B74" s="315" t="s">
        <v>138</v>
      </c>
      <c r="C74" s="315"/>
      <c r="D74" s="315"/>
      <c r="E74" s="315"/>
      <c r="F74" s="315"/>
      <c r="G74" s="315"/>
      <c r="H74" s="315"/>
      <c r="I74" s="315"/>
      <c r="J74" s="151"/>
      <c r="K74" s="151"/>
    </row>
    <row r="75" spans="1:15" ht="57">
      <c r="A75" s="106" t="s">
        <v>2</v>
      </c>
      <c r="B75" s="177" t="s">
        <v>3</v>
      </c>
      <c r="C75" s="178" t="s">
        <v>4</v>
      </c>
      <c r="D75" s="179" t="s">
        <v>104</v>
      </c>
      <c r="E75" s="180" t="s">
        <v>105</v>
      </c>
      <c r="F75" s="4" t="s">
        <v>6</v>
      </c>
      <c r="G75" s="181" t="s">
        <v>7</v>
      </c>
      <c r="H75" s="4" t="s">
        <v>9</v>
      </c>
      <c r="I75" s="178" t="s">
        <v>10</v>
      </c>
    </row>
    <row r="76" spans="1:15" ht="15.75">
      <c r="A76" s="105"/>
      <c r="B76" s="139" t="s">
        <v>39</v>
      </c>
      <c r="C76" s="139" t="s">
        <v>39</v>
      </c>
      <c r="D76" s="139" t="s">
        <v>39</v>
      </c>
      <c r="E76" s="139" t="s">
        <v>39</v>
      </c>
      <c r="F76" s="139" t="s">
        <v>39</v>
      </c>
      <c r="G76" s="139" t="s">
        <v>39</v>
      </c>
      <c r="H76" s="139" t="s">
        <v>39</v>
      </c>
      <c r="I76" s="139" t="s">
        <v>39</v>
      </c>
      <c r="K76" s="121"/>
    </row>
    <row r="77" spans="1:15" ht="15.75">
      <c r="A77" s="123" t="s">
        <v>106</v>
      </c>
      <c r="B77" s="134">
        <f>1571+16</f>
        <v>1587</v>
      </c>
      <c r="C77" s="135">
        <v>9</v>
      </c>
      <c r="D77" s="135">
        <v>2</v>
      </c>
      <c r="E77" s="136">
        <v>165</v>
      </c>
      <c r="F77" s="136">
        <v>15</v>
      </c>
      <c r="G77" s="136">
        <v>0</v>
      </c>
      <c r="H77" s="136">
        <v>2</v>
      </c>
      <c r="I77" s="182">
        <f>SUM(B77:H77)</f>
        <v>1780</v>
      </c>
      <c r="K77" s="121"/>
    </row>
    <row r="78" spans="1:15" ht="15.75">
      <c r="A78" s="123" t="s">
        <v>107</v>
      </c>
      <c r="B78" s="134">
        <f>3351+16</f>
        <v>3367</v>
      </c>
      <c r="C78" s="135">
        <v>9</v>
      </c>
      <c r="D78" s="135">
        <v>2</v>
      </c>
      <c r="E78" s="136">
        <v>165</v>
      </c>
      <c r="F78" s="136">
        <v>15</v>
      </c>
      <c r="G78" s="136">
        <v>0</v>
      </c>
      <c r="H78" s="136">
        <v>2</v>
      </c>
      <c r="I78" s="182">
        <f>SUM(B78:H78)</f>
        <v>3560</v>
      </c>
    </row>
    <row r="79" spans="1:15" ht="15.75">
      <c r="A79" s="9"/>
      <c r="B79" s="129"/>
      <c r="C79" s="130"/>
      <c r="D79" s="130"/>
      <c r="E79" s="130"/>
      <c r="F79" s="130"/>
      <c r="G79" s="129"/>
      <c r="H79" s="129"/>
      <c r="I79" s="126"/>
      <c r="J79" s="126"/>
      <c r="K79" s="129"/>
      <c r="L79" s="130"/>
      <c r="M79" s="130"/>
      <c r="N79" s="129"/>
      <c r="O79" s="127"/>
    </row>
    <row r="80" spans="1:15" ht="15.75">
      <c r="A80" s="170"/>
      <c r="B80" s="129"/>
      <c r="C80" s="130"/>
      <c r="D80" s="130"/>
      <c r="E80" s="130"/>
      <c r="F80" s="130"/>
      <c r="G80" s="129"/>
      <c r="H80" s="129"/>
      <c r="I80" s="126"/>
      <c r="J80" s="126"/>
      <c r="K80" s="129"/>
      <c r="L80" s="130"/>
      <c r="M80" s="130"/>
      <c r="N80" s="129"/>
      <c r="O80" s="127"/>
    </row>
    <row r="81" spans="1:15" ht="15.75">
      <c r="B81" s="129"/>
      <c r="C81" s="130"/>
      <c r="D81" s="130"/>
      <c r="E81" s="130"/>
      <c r="F81" s="130"/>
      <c r="G81" s="129"/>
      <c r="H81" s="129"/>
      <c r="I81" s="126"/>
      <c r="J81" s="126"/>
      <c r="K81" s="129"/>
      <c r="L81" s="130"/>
      <c r="M81" s="130"/>
      <c r="N81" s="129"/>
      <c r="O81" s="127"/>
    </row>
    <row r="82" spans="1:15" ht="15.75">
      <c r="B82" s="129"/>
      <c r="C82" s="130"/>
      <c r="D82" s="130"/>
      <c r="E82" s="130"/>
      <c r="F82" s="130"/>
      <c r="G82" s="129"/>
      <c r="H82" s="129"/>
      <c r="I82" s="126"/>
      <c r="J82" s="126"/>
      <c r="K82" s="129"/>
      <c r="L82" s="130"/>
      <c r="M82" s="130"/>
      <c r="N82" s="129"/>
      <c r="O82" s="127"/>
    </row>
    <row r="83" spans="1:15" ht="15.75">
      <c r="B83" s="129"/>
      <c r="C83" s="130"/>
      <c r="D83" s="130"/>
      <c r="E83" s="130"/>
      <c r="F83" s="130"/>
      <c r="G83" s="129"/>
      <c r="H83" s="129"/>
      <c r="I83" s="126"/>
      <c r="J83" s="126"/>
      <c r="K83" s="129"/>
      <c r="L83" s="130"/>
      <c r="M83" s="130"/>
      <c r="N83" s="129"/>
      <c r="O83" s="127"/>
    </row>
    <row r="84" spans="1:15" ht="15.75">
      <c r="B84" s="129"/>
      <c r="C84" s="130"/>
      <c r="D84" s="130"/>
      <c r="E84" s="130"/>
      <c r="F84" s="130"/>
      <c r="G84" s="129"/>
      <c r="H84" s="129"/>
      <c r="I84" s="126"/>
      <c r="J84" s="126"/>
      <c r="K84" s="129"/>
      <c r="L84" s="130"/>
      <c r="M84" s="130"/>
      <c r="N84" s="129"/>
      <c r="O84" s="127"/>
    </row>
    <row r="85" spans="1:15" ht="20.25">
      <c r="A85" s="299" t="s">
        <v>137</v>
      </c>
      <c r="B85" s="299"/>
      <c r="C85" s="299"/>
      <c r="D85" s="299"/>
      <c r="E85" s="299"/>
      <c r="F85" s="299"/>
      <c r="G85" s="299"/>
      <c r="H85" s="299"/>
      <c r="I85" s="299"/>
      <c r="J85" s="56"/>
      <c r="K85" s="68"/>
      <c r="L85" s="68"/>
      <c r="M85" s="68"/>
      <c r="N85" s="68"/>
      <c r="O85" s="68"/>
    </row>
    <row r="86" spans="1:15" ht="20.25">
      <c r="A86" s="316" t="s">
        <v>126</v>
      </c>
      <c r="B86" s="316"/>
      <c r="C86" s="316"/>
      <c r="D86" s="316"/>
      <c r="E86" s="316"/>
      <c r="F86" s="316"/>
      <c r="G86" s="316"/>
      <c r="H86" s="316"/>
      <c r="I86" s="316"/>
      <c r="J86" s="154"/>
      <c r="K86" s="154"/>
      <c r="L86" s="104"/>
      <c r="M86" s="104"/>
      <c r="N86" s="104"/>
      <c r="O86" s="104"/>
    </row>
    <row r="87" spans="1:15" ht="18.75">
      <c r="A87" s="105"/>
      <c r="B87" s="315" t="s">
        <v>138</v>
      </c>
      <c r="C87" s="315"/>
      <c r="D87" s="315"/>
      <c r="E87" s="315"/>
      <c r="F87" s="315"/>
      <c r="G87" s="315"/>
      <c r="H87" s="315"/>
      <c r="I87" s="315"/>
      <c r="J87" s="151"/>
      <c r="K87" s="151"/>
    </row>
    <row r="88" spans="1:15" ht="57">
      <c r="A88" s="106" t="s">
        <v>2</v>
      </c>
      <c r="B88" s="107" t="s">
        <v>3</v>
      </c>
      <c r="C88" s="108" t="s">
        <v>4</v>
      </c>
      <c r="D88" s="109" t="s">
        <v>104</v>
      </c>
      <c r="E88" s="111" t="s">
        <v>105</v>
      </c>
      <c r="F88" s="4" t="s">
        <v>6</v>
      </c>
      <c r="G88" s="158" t="s">
        <v>7</v>
      </c>
      <c r="H88" s="4" t="s">
        <v>9</v>
      </c>
      <c r="I88" s="108" t="s">
        <v>10</v>
      </c>
    </row>
    <row r="89" spans="1:15" ht="15.75">
      <c r="A89" s="105"/>
      <c r="B89" s="139" t="s">
        <v>39</v>
      </c>
      <c r="C89" s="139" t="s">
        <v>39</v>
      </c>
      <c r="D89" s="139" t="s">
        <v>39</v>
      </c>
      <c r="E89" s="139" t="s">
        <v>39</v>
      </c>
      <c r="F89" s="139" t="s">
        <v>39</v>
      </c>
      <c r="G89" s="139" t="s">
        <v>39</v>
      </c>
      <c r="H89" s="139" t="s">
        <v>39</v>
      </c>
      <c r="I89" s="139" t="s">
        <v>39</v>
      </c>
      <c r="K89" s="121"/>
    </row>
    <row r="90" spans="1:15" ht="15.75">
      <c r="A90" s="123" t="s">
        <v>109</v>
      </c>
      <c r="B90" s="134">
        <f>1851+16</f>
        <v>1867</v>
      </c>
      <c r="C90" s="135">
        <v>9</v>
      </c>
      <c r="D90" s="135">
        <v>2</v>
      </c>
      <c r="E90" s="136">
        <v>165</v>
      </c>
      <c r="F90" s="136">
        <v>15</v>
      </c>
      <c r="G90" s="136">
        <v>0</v>
      </c>
      <c r="H90" s="136">
        <v>2</v>
      </c>
      <c r="I90" s="182">
        <f>SUM(B90:H90)</f>
        <v>2060</v>
      </c>
      <c r="K90" s="121"/>
    </row>
    <row r="91" spans="1:15">
      <c r="A91" s="112" t="s">
        <v>143</v>
      </c>
      <c r="B91" s="134">
        <f>1851+16</f>
        <v>1867</v>
      </c>
      <c r="C91" s="135">
        <v>9</v>
      </c>
      <c r="D91" s="135">
        <v>2</v>
      </c>
      <c r="E91" s="136">
        <v>0</v>
      </c>
      <c r="F91" s="136">
        <v>15</v>
      </c>
      <c r="G91" s="136">
        <v>16</v>
      </c>
      <c r="H91" s="136">
        <v>2</v>
      </c>
      <c r="I91" s="182">
        <f>SUM(B91:H91)</f>
        <v>1911</v>
      </c>
      <c r="K91" s="121"/>
    </row>
    <row r="92" spans="1:15" ht="15.75">
      <c r="B92" s="129"/>
      <c r="C92" s="130"/>
      <c r="D92" s="130"/>
      <c r="E92" s="130"/>
      <c r="F92" s="130"/>
      <c r="G92" s="129"/>
      <c r="H92" s="129"/>
      <c r="I92" s="126"/>
      <c r="J92" s="126"/>
      <c r="K92" s="129"/>
      <c r="L92" s="130"/>
      <c r="M92" s="130"/>
      <c r="N92" s="129"/>
      <c r="O92" s="127"/>
    </row>
    <row r="93" spans="1:15" ht="15.75">
      <c r="B93" s="129"/>
      <c r="C93" s="130"/>
      <c r="D93" s="130"/>
      <c r="E93" s="130"/>
      <c r="F93" s="130"/>
      <c r="G93" s="129"/>
      <c r="H93" s="129"/>
      <c r="I93" s="126"/>
      <c r="J93" s="126"/>
      <c r="K93" s="129"/>
      <c r="L93" s="130"/>
      <c r="M93" s="130"/>
      <c r="N93" s="129"/>
      <c r="O93" s="127"/>
    </row>
    <row r="94" spans="1:15" ht="15.75">
      <c r="B94" s="129"/>
      <c r="C94" s="130"/>
      <c r="D94" s="130"/>
      <c r="E94" s="130"/>
      <c r="F94" s="130"/>
      <c r="G94" s="129"/>
      <c r="H94" s="129"/>
      <c r="I94" s="126"/>
      <c r="J94" s="126"/>
      <c r="K94" s="129"/>
      <c r="L94" s="130"/>
      <c r="M94" s="130"/>
      <c r="N94" s="129"/>
      <c r="O94" s="127"/>
    </row>
    <row r="95" spans="1:15" ht="15.75">
      <c r="A95" s="9"/>
      <c r="B95" s="129"/>
      <c r="C95" s="130"/>
      <c r="D95" s="130"/>
      <c r="E95" s="130"/>
      <c r="F95" s="130"/>
      <c r="G95" s="129"/>
      <c r="H95" s="129"/>
      <c r="I95" s="126"/>
      <c r="J95" s="126"/>
      <c r="K95" s="129"/>
      <c r="L95" s="130"/>
      <c r="M95" s="130"/>
      <c r="N95" s="129"/>
      <c r="O95" s="127"/>
    </row>
    <row r="96" spans="1:15" ht="15.75">
      <c r="A96" s="9"/>
      <c r="B96" s="129"/>
      <c r="C96" s="130"/>
      <c r="D96" s="130"/>
      <c r="E96" s="130"/>
      <c r="F96" s="130"/>
      <c r="G96" s="129"/>
      <c r="H96" s="129"/>
      <c r="I96" s="126"/>
      <c r="J96" s="126"/>
      <c r="K96" s="129"/>
      <c r="L96" s="130"/>
      <c r="M96" s="130"/>
      <c r="N96" s="129"/>
      <c r="O96" s="127"/>
    </row>
    <row r="97" spans="1:15" ht="20.25">
      <c r="A97" s="299" t="s">
        <v>137</v>
      </c>
      <c r="B97" s="299"/>
      <c r="C97" s="299"/>
      <c r="D97" s="299"/>
      <c r="E97" s="299"/>
      <c r="F97" s="299"/>
      <c r="G97" s="299"/>
      <c r="H97" s="299"/>
      <c r="I97" s="68"/>
      <c r="J97" s="56"/>
      <c r="K97" s="68"/>
      <c r="L97" s="68"/>
      <c r="M97" s="68"/>
      <c r="N97" s="68"/>
      <c r="O97" s="68"/>
    </row>
    <row r="98" spans="1:15" ht="20.25">
      <c r="A98" s="316" t="s">
        <v>127</v>
      </c>
      <c r="B98" s="316"/>
      <c r="C98" s="316"/>
      <c r="D98" s="316"/>
      <c r="E98" s="316"/>
      <c r="F98" s="316"/>
      <c r="G98" s="316"/>
      <c r="H98" s="316"/>
      <c r="I98" s="174"/>
      <c r="J98" s="167"/>
      <c r="K98" s="104"/>
      <c r="L98" s="104"/>
      <c r="M98" s="104"/>
      <c r="N98" s="104"/>
      <c r="O98" s="104"/>
    </row>
    <row r="99" spans="1:15" ht="18.75">
      <c r="A99" s="105"/>
      <c r="B99" s="315" t="s">
        <v>138</v>
      </c>
      <c r="C99" s="315"/>
      <c r="D99" s="315"/>
      <c r="E99" s="315"/>
      <c r="F99" s="315"/>
      <c r="G99" s="315"/>
      <c r="H99" s="315"/>
      <c r="I99" s="151"/>
      <c r="J99" s="151"/>
    </row>
    <row r="100" spans="1:15" ht="57">
      <c r="A100" s="106" t="s">
        <v>2</v>
      </c>
      <c r="B100" s="140" t="s">
        <v>3</v>
      </c>
      <c r="C100" s="141" t="s">
        <v>4</v>
      </c>
      <c r="D100" s="142" t="s">
        <v>104</v>
      </c>
      <c r="E100" s="111" t="s">
        <v>105</v>
      </c>
      <c r="F100" s="4" t="s">
        <v>6</v>
      </c>
      <c r="G100" s="4" t="s">
        <v>9</v>
      </c>
      <c r="H100" s="108" t="s">
        <v>10</v>
      </c>
    </row>
    <row r="101" spans="1:15" ht="15.75">
      <c r="A101" s="105"/>
      <c r="B101" s="139" t="s">
        <v>39</v>
      </c>
      <c r="C101" s="139" t="s">
        <v>39</v>
      </c>
      <c r="D101" s="139" t="s">
        <v>39</v>
      </c>
      <c r="E101" s="139" t="s">
        <v>39</v>
      </c>
      <c r="F101" s="139" t="s">
        <v>39</v>
      </c>
      <c r="G101" s="139" t="s">
        <v>39</v>
      </c>
      <c r="H101" s="139" t="s">
        <v>39</v>
      </c>
    </row>
    <row r="102" spans="1:15" ht="15.75">
      <c r="A102" s="123" t="s">
        <v>111</v>
      </c>
      <c r="B102" s="134">
        <f>2512+16</f>
        <v>2528</v>
      </c>
      <c r="C102" s="135">
        <v>9</v>
      </c>
      <c r="D102" s="135">
        <v>2</v>
      </c>
      <c r="E102" s="136">
        <v>153</v>
      </c>
      <c r="F102" s="136">
        <v>15</v>
      </c>
      <c r="G102" s="114">
        <v>2</v>
      </c>
      <c r="H102" s="116">
        <f>SUM(B102:G102)</f>
        <v>2709</v>
      </c>
    </row>
    <row r="103" spans="1:15" ht="15.75">
      <c r="A103" s="123" t="s">
        <v>112</v>
      </c>
      <c r="B103" s="134">
        <f>2512+16</f>
        <v>2528</v>
      </c>
      <c r="C103" s="135">
        <v>9</v>
      </c>
      <c r="D103" s="135">
        <v>2</v>
      </c>
      <c r="E103" s="136">
        <v>153</v>
      </c>
      <c r="F103" s="136">
        <v>15</v>
      </c>
      <c r="G103" s="114">
        <v>2</v>
      </c>
      <c r="H103" s="116">
        <f>SUM(B103:G103)</f>
        <v>2709</v>
      </c>
    </row>
    <row r="104" spans="1:15" ht="15.75">
      <c r="A104" s="123" t="s">
        <v>113</v>
      </c>
      <c r="B104" s="134">
        <f>2258+16</f>
        <v>2274</v>
      </c>
      <c r="C104" s="135">
        <v>9</v>
      </c>
      <c r="D104" s="135">
        <v>2</v>
      </c>
      <c r="E104" s="136">
        <v>153</v>
      </c>
      <c r="F104" s="136">
        <v>15</v>
      </c>
      <c r="G104" s="114">
        <v>2</v>
      </c>
      <c r="H104" s="116">
        <f>SUM(B104:G104)</f>
        <v>2455</v>
      </c>
    </row>
    <row r="105" spans="1:15" ht="15.75">
      <c r="A105" s="9"/>
      <c r="B105" s="137"/>
      <c r="C105" s="138"/>
      <c r="D105" s="138"/>
      <c r="E105" s="138"/>
      <c r="F105" s="138"/>
      <c r="G105" s="137"/>
      <c r="H105" s="137"/>
      <c r="I105" s="126"/>
      <c r="J105" s="126"/>
      <c r="K105" s="137"/>
      <c r="L105" s="138"/>
      <c r="M105" s="138"/>
      <c r="N105" s="137"/>
      <c r="O105" s="127"/>
    </row>
    <row r="106" spans="1:15" ht="15.75">
      <c r="A106" s="9"/>
      <c r="B106" s="129"/>
      <c r="C106" s="130"/>
      <c r="D106" s="130"/>
      <c r="E106" s="130"/>
      <c r="F106" s="138"/>
      <c r="G106" s="129"/>
      <c r="H106" s="129"/>
      <c r="I106" s="126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29"/>
      <c r="H107" s="129"/>
      <c r="I107" s="126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29"/>
      <c r="H108" s="129"/>
      <c r="I108" s="126"/>
      <c r="J108" s="126"/>
      <c r="K108" s="129"/>
      <c r="L108" s="130"/>
      <c r="M108" s="130"/>
      <c r="N108" s="129"/>
      <c r="O108" s="127"/>
    </row>
    <row r="109" spans="1:15" ht="15.75">
      <c r="A109" s="9"/>
      <c r="B109" s="129"/>
      <c r="C109" s="130"/>
      <c r="D109" s="130"/>
      <c r="E109" s="130"/>
      <c r="F109" s="130"/>
      <c r="G109" s="129"/>
      <c r="H109" s="129"/>
      <c r="I109" s="126"/>
      <c r="J109" s="126"/>
      <c r="K109" s="129"/>
      <c r="L109" s="130"/>
      <c r="M109" s="130"/>
      <c r="N109" s="129"/>
      <c r="O109" s="127"/>
    </row>
    <row r="110" spans="1:15" ht="15.75">
      <c r="F110" s="130"/>
    </row>
    <row r="111" spans="1:15" ht="20.25">
      <c r="A111" s="299" t="s">
        <v>137</v>
      </c>
      <c r="B111" s="299"/>
      <c r="C111" s="299"/>
      <c r="D111" s="299"/>
      <c r="E111" s="299"/>
      <c r="F111" s="299"/>
      <c r="G111" s="299"/>
      <c r="H111" s="299"/>
      <c r="I111" s="68"/>
      <c r="J111" s="56"/>
      <c r="K111" s="68"/>
      <c r="L111" s="68"/>
      <c r="M111" s="68"/>
      <c r="N111" s="68"/>
      <c r="O111" s="68"/>
    </row>
    <row r="112" spans="1:15" ht="20.25">
      <c r="A112" s="316" t="s">
        <v>129</v>
      </c>
      <c r="B112" s="316"/>
      <c r="C112" s="316"/>
      <c r="D112" s="316"/>
      <c r="E112" s="316"/>
      <c r="F112" s="316"/>
      <c r="G112" s="316"/>
      <c r="H112" s="316"/>
      <c r="I112" s="174"/>
      <c r="J112" s="167"/>
      <c r="K112" s="104"/>
      <c r="L112" s="104"/>
      <c r="M112" s="104"/>
      <c r="N112" s="104"/>
      <c r="O112" s="104"/>
    </row>
    <row r="113" spans="1:15" ht="18.75">
      <c r="A113" s="105"/>
      <c r="B113" s="315" t="s">
        <v>138</v>
      </c>
      <c r="C113" s="315"/>
      <c r="D113" s="315"/>
      <c r="E113" s="315"/>
      <c r="F113" s="315"/>
      <c r="G113" s="315"/>
      <c r="H113" s="315"/>
      <c r="I113" s="151"/>
      <c r="J113" s="151"/>
    </row>
    <row r="114" spans="1:15" ht="57">
      <c r="A114" s="106" t="s">
        <v>2</v>
      </c>
      <c r="B114" s="140" t="s">
        <v>3</v>
      </c>
      <c r="C114" s="141" t="s">
        <v>4</v>
      </c>
      <c r="D114" s="142" t="s">
        <v>104</v>
      </c>
      <c r="E114" s="111" t="s">
        <v>105</v>
      </c>
      <c r="F114" s="4" t="s">
        <v>6</v>
      </c>
      <c r="G114" s="4" t="s">
        <v>9</v>
      </c>
      <c r="H114" s="108" t="s">
        <v>10</v>
      </c>
    </row>
    <row r="115" spans="1:15" ht="15.75">
      <c r="A115" s="105"/>
      <c r="B115" s="7" t="s">
        <v>39</v>
      </c>
      <c r="C115" s="7" t="s">
        <v>39</v>
      </c>
      <c r="D115" s="7" t="s">
        <v>39</v>
      </c>
      <c r="E115" s="7" t="s">
        <v>39</v>
      </c>
      <c r="F115" s="139" t="s">
        <v>39</v>
      </c>
      <c r="G115" s="139" t="s">
        <v>39</v>
      </c>
      <c r="H115" s="139" t="s">
        <v>39</v>
      </c>
    </row>
    <row r="116" spans="1:15" ht="15.75">
      <c r="A116" s="123" t="s">
        <v>119</v>
      </c>
      <c r="B116" s="143">
        <f>2588+16</f>
        <v>2604</v>
      </c>
      <c r="C116" s="135">
        <v>9</v>
      </c>
      <c r="D116" s="135">
        <v>2</v>
      </c>
      <c r="E116" s="115">
        <v>153</v>
      </c>
      <c r="F116" s="115">
        <v>15</v>
      </c>
      <c r="G116" s="114">
        <v>2</v>
      </c>
      <c r="H116" s="116">
        <f>SUM(B116:G116)</f>
        <v>2785</v>
      </c>
    </row>
    <row r="117" spans="1:15" ht="15.75">
      <c r="A117" s="123" t="s">
        <v>121</v>
      </c>
      <c r="B117" s="143">
        <f>1524+16</f>
        <v>1540</v>
      </c>
      <c r="C117" s="135">
        <v>9</v>
      </c>
      <c r="D117" s="135">
        <v>2</v>
      </c>
      <c r="E117" s="115">
        <f>'[1]SAS 2016-17'!J35</f>
        <v>0</v>
      </c>
      <c r="F117" s="115">
        <v>15</v>
      </c>
      <c r="G117" s="114">
        <v>2</v>
      </c>
      <c r="H117" s="116">
        <f>SUM(B117:G117)</f>
        <v>1568</v>
      </c>
    </row>
    <row r="118" spans="1:15" ht="15.75">
      <c r="A118" s="123" t="s">
        <v>122</v>
      </c>
      <c r="B118" s="143">
        <f>1524+16</f>
        <v>1540</v>
      </c>
      <c r="C118" s="135">
        <v>9</v>
      </c>
      <c r="D118" s="135">
        <v>2</v>
      </c>
      <c r="E118" s="115">
        <f>'[1]SAS 2016-17'!J36</f>
        <v>0</v>
      </c>
      <c r="F118" s="115">
        <v>15</v>
      </c>
      <c r="G118" s="114">
        <v>2</v>
      </c>
      <c r="H118" s="116">
        <f>SUM(B118:G118)</f>
        <v>1568</v>
      </c>
    </row>
    <row r="119" spans="1:15">
      <c r="F119" s="119"/>
    </row>
    <row r="121" spans="1:15">
      <c r="A121" s="170"/>
      <c r="M121" s="117"/>
    </row>
    <row r="122" spans="1:15">
      <c r="M122" s="117"/>
    </row>
    <row r="125" spans="1:15" ht="20.25">
      <c r="A125" s="299" t="s">
        <v>137</v>
      </c>
      <c r="B125" s="299"/>
      <c r="C125" s="299"/>
      <c r="D125" s="299"/>
      <c r="E125" s="299"/>
      <c r="F125" s="299"/>
      <c r="G125" s="299"/>
      <c r="H125" s="299"/>
      <c r="I125" s="68"/>
      <c r="J125" s="56"/>
      <c r="K125" s="68"/>
      <c r="L125" s="68"/>
      <c r="M125" s="68"/>
      <c r="N125" s="68"/>
      <c r="O125" s="68"/>
    </row>
    <row r="126" spans="1:15" ht="20.25">
      <c r="A126" s="319" t="s">
        <v>131</v>
      </c>
      <c r="B126" s="319"/>
      <c r="C126" s="319"/>
      <c r="D126" s="319"/>
      <c r="E126" s="319"/>
      <c r="F126" s="319"/>
      <c r="G126" s="319"/>
      <c r="H126" s="319"/>
      <c r="I126" s="175"/>
      <c r="J126" s="61"/>
      <c r="K126" s="104"/>
      <c r="L126" s="104"/>
      <c r="M126" s="104"/>
      <c r="N126" s="104"/>
      <c r="O126" s="104"/>
    </row>
    <row r="127" spans="1:15" ht="18.75">
      <c r="A127" s="105"/>
      <c r="B127" s="315" t="s">
        <v>138</v>
      </c>
      <c r="C127" s="315"/>
      <c r="D127" s="315"/>
      <c r="E127" s="315"/>
      <c r="F127" s="315"/>
      <c r="G127" s="315"/>
      <c r="H127" s="315"/>
      <c r="I127" s="151"/>
      <c r="J127" s="151"/>
    </row>
    <row r="128" spans="1:15" ht="57">
      <c r="A128" s="106" t="s">
        <v>2</v>
      </c>
      <c r="B128" s="140" t="s">
        <v>3</v>
      </c>
      <c r="C128" s="141" t="s">
        <v>4</v>
      </c>
      <c r="D128" s="142" t="s">
        <v>104</v>
      </c>
      <c r="E128" s="111" t="s">
        <v>105</v>
      </c>
      <c r="F128" s="4" t="s">
        <v>6</v>
      </c>
      <c r="G128" s="4" t="s">
        <v>9</v>
      </c>
      <c r="H128" s="108" t="s">
        <v>10</v>
      </c>
    </row>
    <row r="129" spans="1:8" ht="15.75">
      <c r="A129" s="105"/>
      <c r="B129" s="7" t="s">
        <v>39</v>
      </c>
      <c r="C129" s="7" t="s">
        <v>39</v>
      </c>
      <c r="D129" s="7" t="s">
        <v>39</v>
      </c>
      <c r="E129" s="7" t="s">
        <v>39</v>
      </c>
      <c r="F129" s="139" t="s">
        <v>39</v>
      </c>
      <c r="G129" s="139" t="s">
        <v>39</v>
      </c>
      <c r="H129" s="139" t="s">
        <v>39</v>
      </c>
    </row>
    <row r="130" spans="1:8" ht="15.75">
      <c r="A130" s="105" t="s">
        <v>124</v>
      </c>
      <c r="B130" s="113">
        <f>3915+16</f>
        <v>3931</v>
      </c>
      <c r="C130" s="135">
        <v>9</v>
      </c>
      <c r="D130" s="135">
        <v>2</v>
      </c>
      <c r="E130" s="114">
        <v>160</v>
      </c>
      <c r="F130" s="114">
        <v>15</v>
      </c>
      <c r="G130" s="183">
        <v>2</v>
      </c>
      <c r="H130" s="116">
        <f>SUM(B130:G130)</f>
        <v>4119</v>
      </c>
    </row>
  </sheetData>
  <mergeCells count="30">
    <mergeCell ref="A126:H126"/>
    <mergeCell ref="B127:H127"/>
    <mergeCell ref="A1:I1"/>
    <mergeCell ref="A2:I2"/>
    <mergeCell ref="B3:I3"/>
    <mergeCell ref="A14:I14"/>
    <mergeCell ref="A86:I86"/>
    <mergeCell ref="A85:I85"/>
    <mergeCell ref="B87:I87"/>
    <mergeCell ref="A97:H97"/>
    <mergeCell ref="A98:H98"/>
    <mergeCell ref="B99:H99"/>
    <mergeCell ref="A111:H111"/>
    <mergeCell ref="A112:H112"/>
    <mergeCell ref="B113:H113"/>
    <mergeCell ref="A125:H125"/>
    <mergeCell ref="B74:I74"/>
    <mergeCell ref="A47:H47"/>
    <mergeCell ref="B48:H48"/>
    <mergeCell ref="A15:I15"/>
    <mergeCell ref="B16:I16"/>
    <mergeCell ref="A28:H28"/>
    <mergeCell ref="A29:H29"/>
    <mergeCell ref="B30:H30"/>
    <mergeCell ref="A46:H46"/>
    <mergeCell ref="A72:I72"/>
    <mergeCell ref="A73:I73"/>
    <mergeCell ref="A60:H60"/>
    <mergeCell ref="A61:H61"/>
    <mergeCell ref="B62:H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04C3-436A-4153-8825-C7012EFA95AF}">
  <dimension ref="A1:O142"/>
  <sheetViews>
    <sheetView workbookViewId="0">
      <selection sqref="A1:H1"/>
    </sheetView>
  </sheetViews>
  <sheetFormatPr defaultRowHeight="15"/>
  <cols>
    <col min="1" max="1" width="31.7109375" customWidth="1"/>
    <col min="2" max="2" width="10.140625" customWidth="1"/>
    <col min="3" max="3" width="9" customWidth="1"/>
    <col min="4" max="4" width="6.7109375" customWidth="1"/>
    <col min="5" max="5" width="8.140625" customWidth="1"/>
    <col min="6" max="7" width="13.140625" customWidth="1"/>
    <col min="8" max="8" width="10" customWidth="1"/>
    <col min="9" max="9" width="12.85546875" customWidth="1"/>
    <col min="10" max="10" width="10.5703125" customWidth="1"/>
    <col min="11" max="11" width="9.28515625" customWidth="1"/>
    <col min="12" max="12" width="7.28515625" customWidth="1"/>
    <col min="13" max="13" width="17.140625" customWidth="1"/>
    <col min="14" max="14" width="11.28515625" customWidth="1"/>
    <col min="15" max="15" width="9.5703125" customWidth="1"/>
    <col min="16" max="16" width="9.5703125" bestFit="1" customWidth="1"/>
  </cols>
  <sheetData>
    <row r="1" spans="1:15" ht="20.25">
      <c r="A1" s="303" t="s">
        <v>137</v>
      </c>
      <c r="B1" s="303"/>
      <c r="C1" s="303"/>
      <c r="D1" s="303"/>
      <c r="E1" s="303"/>
      <c r="F1" s="303"/>
      <c r="G1" s="303"/>
      <c r="H1" s="303"/>
      <c r="I1" s="155"/>
      <c r="J1" s="155"/>
      <c r="K1" s="68"/>
      <c r="L1" s="68"/>
      <c r="M1" s="68"/>
      <c r="N1" s="68"/>
      <c r="O1" s="68"/>
    </row>
    <row r="2" spans="1:15" ht="20.25">
      <c r="A2" s="317" t="s">
        <v>102</v>
      </c>
      <c r="B2" s="317"/>
      <c r="C2" s="317"/>
      <c r="D2" s="317"/>
      <c r="E2" s="317"/>
      <c r="F2" s="317"/>
      <c r="G2" s="317"/>
      <c r="H2" s="317"/>
      <c r="I2" s="156"/>
      <c r="J2" s="156"/>
      <c r="K2" s="104"/>
      <c r="L2" s="104"/>
      <c r="M2" s="104"/>
      <c r="N2" s="104"/>
      <c r="O2" s="104"/>
    </row>
    <row r="3" spans="1:15" ht="18.75">
      <c r="A3" s="105"/>
      <c r="B3" s="315" t="s">
        <v>144</v>
      </c>
      <c r="C3" s="315"/>
      <c r="D3" s="315"/>
      <c r="E3" s="315"/>
      <c r="F3" s="315"/>
      <c r="G3" s="315"/>
      <c r="H3" s="315"/>
      <c r="I3" s="151"/>
      <c r="J3" s="151"/>
      <c r="K3" s="320"/>
      <c r="L3" s="320"/>
      <c r="M3" s="320"/>
      <c r="N3" s="320"/>
      <c r="O3" s="320"/>
    </row>
    <row r="4" spans="1:15" ht="42.75">
      <c r="A4" s="106" t="s">
        <v>2</v>
      </c>
      <c r="B4" s="107" t="s">
        <v>3</v>
      </c>
      <c r="C4" s="108" t="s">
        <v>4</v>
      </c>
      <c r="D4" s="109" t="s">
        <v>104</v>
      </c>
      <c r="E4" s="4" t="s">
        <v>6</v>
      </c>
      <c r="F4" s="187" t="s">
        <v>105</v>
      </c>
      <c r="G4" s="4" t="s">
        <v>9</v>
      </c>
      <c r="H4" s="108" t="s">
        <v>10</v>
      </c>
      <c r="I4" s="4"/>
      <c r="J4" s="131"/>
      <c r="K4" s="132"/>
      <c r="L4" s="133"/>
      <c r="M4" s="131"/>
    </row>
    <row r="5" spans="1:15" ht="15.75">
      <c r="A5" s="105"/>
      <c r="B5" s="7" t="s">
        <v>12</v>
      </c>
      <c r="C5" s="7" t="s">
        <v>12</v>
      </c>
      <c r="D5" s="7" t="s">
        <v>12</v>
      </c>
      <c r="E5" s="7" t="s">
        <v>12</v>
      </c>
      <c r="F5" s="7" t="s">
        <v>12</v>
      </c>
      <c r="G5" s="7" t="s">
        <v>12</v>
      </c>
      <c r="H5" s="7" t="s">
        <v>12</v>
      </c>
      <c r="I5" s="3"/>
      <c r="J5" s="3"/>
      <c r="L5" s="3"/>
      <c r="M5" s="3"/>
    </row>
    <row r="6" spans="1:15">
      <c r="A6" s="112" t="s">
        <v>106</v>
      </c>
      <c r="B6" s="143">
        <f>(3130*1.03)+100</f>
        <v>3323.9</v>
      </c>
      <c r="C6" s="114">
        <v>80</v>
      </c>
      <c r="D6" s="114">
        <v>20</v>
      </c>
      <c r="E6" s="114">
        <v>120</v>
      </c>
      <c r="F6" s="115">
        <v>2000</v>
      </c>
      <c r="G6" s="115">
        <v>13</v>
      </c>
      <c r="H6" s="176">
        <f>SUM(B6:G6)</f>
        <v>5556.9</v>
      </c>
      <c r="I6" s="120"/>
      <c r="J6" s="119"/>
      <c r="L6" s="120"/>
      <c r="M6" s="127"/>
      <c r="N6" s="69"/>
    </row>
    <row r="7" spans="1:15">
      <c r="A7" s="112" t="s">
        <v>107</v>
      </c>
      <c r="B7" s="143">
        <f>(4826*1.06)+100</f>
        <v>5215.5600000000004</v>
      </c>
      <c r="C7" s="114">
        <v>80</v>
      </c>
      <c r="D7" s="114">
        <v>20</v>
      </c>
      <c r="E7" s="114">
        <v>120</v>
      </c>
      <c r="F7" s="115">
        <f>3000*1.05</f>
        <v>3150</v>
      </c>
      <c r="G7" s="115">
        <v>13</v>
      </c>
      <c r="H7" s="176">
        <f>SUM(B7:G7)</f>
        <v>8598.5600000000013</v>
      </c>
      <c r="I7" s="120"/>
      <c r="J7" s="119"/>
      <c r="K7" s="120"/>
      <c r="L7" s="120"/>
      <c r="M7" s="127"/>
      <c r="N7" s="69"/>
    </row>
    <row r="9" spans="1:15">
      <c r="A9" s="160"/>
      <c r="M9" s="117"/>
    </row>
    <row r="10" spans="1:15">
      <c r="M10" s="117"/>
    </row>
    <row r="11" spans="1:15">
      <c r="M11" s="117"/>
    </row>
    <row r="12" spans="1:15">
      <c r="M12" s="117"/>
      <c r="N12" s="69"/>
    </row>
    <row r="13" spans="1:15" ht="20.25">
      <c r="A13" s="303" t="s">
        <v>137</v>
      </c>
      <c r="B13" s="303"/>
      <c r="C13" s="303"/>
      <c r="D13" s="303"/>
      <c r="E13" s="303"/>
      <c r="F13" s="303"/>
      <c r="G13" s="303"/>
      <c r="H13" s="303"/>
      <c r="I13" s="155"/>
      <c r="J13" s="155"/>
      <c r="K13" s="68"/>
      <c r="L13" s="68"/>
      <c r="M13" s="68"/>
      <c r="N13" s="68"/>
      <c r="O13" s="68"/>
    </row>
    <row r="14" spans="1:15" ht="20.25">
      <c r="A14" s="318" t="s">
        <v>108</v>
      </c>
      <c r="B14" s="318"/>
      <c r="C14" s="318"/>
      <c r="D14" s="318"/>
      <c r="E14" s="318"/>
      <c r="F14" s="318"/>
      <c r="G14" s="318"/>
      <c r="H14" s="318"/>
      <c r="I14" s="152"/>
      <c r="J14" s="152"/>
      <c r="K14" s="213"/>
      <c r="L14" s="104"/>
      <c r="M14" s="104"/>
      <c r="N14" s="104"/>
      <c r="O14" s="104"/>
    </row>
    <row r="15" spans="1:15" ht="18.75">
      <c r="A15" s="105"/>
      <c r="B15" s="315" t="s">
        <v>144</v>
      </c>
      <c r="C15" s="315"/>
      <c r="D15" s="315"/>
      <c r="E15" s="315"/>
      <c r="F15" s="315"/>
      <c r="G15" s="315"/>
      <c r="H15" s="315"/>
      <c r="I15" s="151"/>
      <c r="J15" s="151"/>
      <c r="K15" s="328"/>
      <c r="L15" s="328"/>
      <c r="M15" s="328"/>
      <c r="N15" s="328"/>
      <c r="O15" s="328"/>
    </row>
    <row r="16" spans="1:15" ht="42.75">
      <c r="A16" s="106" t="s">
        <v>2</v>
      </c>
      <c r="B16" s="107" t="s">
        <v>3</v>
      </c>
      <c r="C16" s="108" t="s">
        <v>4</v>
      </c>
      <c r="D16" s="109" t="s">
        <v>104</v>
      </c>
      <c r="E16" s="4" t="s">
        <v>6</v>
      </c>
      <c r="F16" s="187" t="s">
        <v>105</v>
      </c>
      <c r="G16" s="4" t="s">
        <v>9</v>
      </c>
      <c r="H16" s="108" t="s">
        <v>10</v>
      </c>
      <c r="I16" s="4"/>
      <c r="J16" s="131"/>
      <c r="K16" s="132"/>
      <c r="L16" s="133"/>
      <c r="M16" s="131"/>
    </row>
    <row r="17" spans="1:15" ht="15.75">
      <c r="A17" s="105"/>
      <c r="B17" s="7" t="s">
        <v>12</v>
      </c>
      <c r="C17" s="7" t="s">
        <v>12</v>
      </c>
      <c r="D17" s="7" t="s">
        <v>12</v>
      </c>
      <c r="E17" s="7" t="s">
        <v>12</v>
      </c>
      <c r="F17" s="7" t="s">
        <v>12</v>
      </c>
      <c r="G17" s="7" t="s">
        <v>12</v>
      </c>
      <c r="H17" s="7" t="s">
        <v>12</v>
      </c>
      <c r="I17" s="3"/>
      <c r="J17" s="3"/>
      <c r="L17" s="3"/>
      <c r="M17" s="3"/>
    </row>
    <row r="18" spans="1:15">
      <c r="A18" s="112" t="s">
        <v>109</v>
      </c>
      <c r="B18" s="143">
        <f>(3823*1.06)+100</f>
        <v>4152.38</v>
      </c>
      <c r="C18" s="114">
        <v>80</v>
      </c>
      <c r="D18" s="114">
        <v>20</v>
      </c>
      <c r="E18" s="114">
        <v>120</v>
      </c>
      <c r="F18" s="115">
        <v>3500</v>
      </c>
      <c r="G18" s="115">
        <v>13</v>
      </c>
      <c r="H18" s="176">
        <f>SUM(B18:G18)</f>
        <v>7885.38</v>
      </c>
      <c r="I18" s="120"/>
      <c r="J18" s="119"/>
      <c r="L18" s="120"/>
      <c r="M18" s="127"/>
      <c r="N18" s="69"/>
    </row>
    <row r="19" spans="1:15">
      <c r="A19" s="112" t="s">
        <v>145</v>
      </c>
      <c r="B19" s="143">
        <f>(2849*1.06)+100</f>
        <v>3119.94</v>
      </c>
      <c r="C19" s="114">
        <v>80</v>
      </c>
      <c r="D19" s="114">
        <v>20</v>
      </c>
      <c r="E19" s="114">
        <v>120</v>
      </c>
      <c r="F19" s="115">
        <v>1500</v>
      </c>
      <c r="G19" s="115">
        <v>13</v>
      </c>
      <c r="H19" s="176">
        <f>SUM(B19:G19)</f>
        <v>4852.9400000000005</v>
      </c>
      <c r="I19" s="120"/>
      <c r="J19" s="119"/>
      <c r="L19" s="120"/>
      <c r="M19" s="127"/>
      <c r="N19" s="69"/>
    </row>
    <row r="20" spans="1:15" ht="30">
      <c r="A20" s="162" t="s">
        <v>146</v>
      </c>
      <c r="B20" s="143">
        <f>(3150*1.06)+100</f>
        <v>3439</v>
      </c>
      <c r="C20" s="114">
        <v>80</v>
      </c>
      <c r="D20" s="114">
        <v>20</v>
      </c>
      <c r="E20" s="114">
        <v>120</v>
      </c>
      <c r="F20" s="115">
        <v>1500</v>
      </c>
      <c r="G20" s="115">
        <v>13</v>
      </c>
      <c r="H20" s="176">
        <f>SUM(B20:G20)</f>
        <v>5172</v>
      </c>
      <c r="J20" s="119"/>
      <c r="L20" s="120"/>
      <c r="M20" s="127"/>
      <c r="N20" s="69"/>
    </row>
    <row r="21" spans="1:15">
      <c r="K21" s="117"/>
    </row>
    <row r="22" spans="1:15">
      <c r="M22" s="117"/>
    </row>
    <row r="23" spans="1:15">
      <c r="M23" s="117"/>
    </row>
    <row r="24" spans="1:15">
      <c r="M24" s="117"/>
    </row>
    <row r="25" spans="1:15">
      <c r="M25" s="117"/>
    </row>
    <row r="26" spans="1:15" ht="20.25">
      <c r="A26" s="303" t="s">
        <v>137</v>
      </c>
      <c r="B26" s="303"/>
      <c r="C26" s="303"/>
      <c r="D26" s="303"/>
      <c r="E26" s="303"/>
      <c r="F26" s="303"/>
      <c r="G26" s="303"/>
      <c r="H26" s="303"/>
      <c r="I26" s="155"/>
      <c r="J26" s="155"/>
      <c r="K26" s="68"/>
      <c r="L26" s="68"/>
      <c r="M26" s="68"/>
      <c r="N26" s="68"/>
      <c r="O26" s="68"/>
    </row>
    <row r="27" spans="1:15" ht="20.25">
      <c r="A27" s="317" t="s">
        <v>110</v>
      </c>
      <c r="B27" s="317"/>
      <c r="C27" s="317"/>
      <c r="D27" s="317"/>
      <c r="E27" s="317"/>
      <c r="F27" s="317"/>
      <c r="G27" s="317"/>
      <c r="H27" s="317"/>
      <c r="I27" s="156"/>
      <c r="J27" s="156"/>
      <c r="K27" s="104"/>
      <c r="L27" s="104"/>
      <c r="M27" s="104"/>
      <c r="N27" s="104"/>
      <c r="O27" s="104"/>
    </row>
    <row r="28" spans="1:15" ht="18.75">
      <c r="A28" s="105"/>
      <c r="B28" s="315" t="s">
        <v>147</v>
      </c>
      <c r="C28" s="315"/>
      <c r="D28" s="315"/>
      <c r="E28" s="315"/>
      <c r="F28" s="315"/>
      <c r="G28" s="315"/>
      <c r="H28" s="315"/>
      <c r="I28" s="151"/>
      <c r="J28" s="151"/>
      <c r="K28" s="328"/>
      <c r="L28" s="320"/>
      <c r="M28" s="320"/>
      <c r="N28" s="320"/>
      <c r="O28" s="320"/>
    </row>
    <row r="29" spans="1:15" ht="42.75">
      <c r="A29" s="106" t="s">
        <v>2</v>
      </c>
      <c r="B29" s="107" t="s">
        <v>3</v>
      </c>
      <c r="C29" s="108" t="s">
        <v>4</v>
      </c>
      <c r="D29" s="109" t="s">
        <v>104</v>
      </c>
      <c r="E29" s="4" t="s">
        <v>6</v>
      </c>
      <c r="F29" s="111" t="s">
        <v>105</v>
      </c>
      <c r="G29" s="4" t="s">
        <v>9</v>
      </c>
      <c r="H29" s="188" t="s">
        <v>10</v>
      </c>
      <c r="I29" s="189"/>
      <c r="J29" s="170"/>
      <c r="K29" s="132"/>
      <c r="L29" s="133"/>
      <c r="M29" s="131"/>
    </row>
    <row r="30" spans="1:15" ht="15.75">
      <c r="A30" s="105"/>
      <c r="B30" s="7" t="s">
        <v>12</v>
      </c>
      <c r="C30" s="7" t="s">
        <v>12</v>
      </c>
      <c r="D30" s="7" t="s">
        <v>12</v>
      </c>
      <c r="E30" s="7" t="s">
        <v>12</v>
      </c>
      <c r="F30" s="7" t="s">
        <v>12</v>
      </c>
      <c r="G30" s="7" t="s">
        <v>12</v>
      </c>
      <c r="H30" s="190" t="s">
        <v>12</v>
      </c>
      <c r="I30" s="191"/>
      <c r="J30" s="3"/>
      <c r="K30" s="3"/>
      <c r="L30" s="3"/>
      <c r="M30" s="3"/>
    </row>
    <row r="31" spans="1:15" ht="15.75">
      <c r="A31" s="123" t="s">
        <v>148</v>
      </c>
      <c r="B31" s="143">
        <f>(4163*1.06)+100</f>
        <v>4512.7800000000007</v>
      </c>
      <c r="C31" s="114">
        <v>80</v>
      </c>
      <c r="D31" s="114">
        <v>20</v>
      </c>
      <c r="E31" s="114">
        <v>120</v>
      </c>
      <c r="F31" s="115">
        <f>800*1.05</f>
        <v>840</v>
      </c>
      <c r="G31" s="192">
        <v>13</v>
      </c>
      <c r="H31" s="193">
        <f t="shared" ref="H31:H37" si="0">SUM(B31:G31)</f>
        <v>5585.7800000000007</v>
      </c>
      <c r="I31" s="194"/>
      <c r="J31" s="119"/>
      <c r="L31" s="120"/>
      <c r="M31" s="127"/>
    </row>
    <row r="32" spans="1:15" ht="15.75">
      <c r="A32" s="123" t="s">
        <v>112</v>
      </c>
      <c r="B32" s="143">
        <f>(3406*1.03)+100</f>
        <v>3608.1800000000003</v>
      </c>
      <c r="C32" s="114">
        <v>80</v>
      </c>
      <c r="D32" s="114">
        <v>20</v>
      </c>
      <c r="E32" s="114">
        <v>120</v>
      </c>
      <c r="F32" s="115">
        <f t="shared" ref="F32:F37" si="1">800*1.05</f>
        <v>840</v>
      </c>
      <c r="G32" s="192">
        <v>13</v>
      </c>
      <c r="H32" s="193">
        <f t="shared" si="0"/>
        <v>4681.18</v>
      </c>
      <c r="I32" s="194"/>
      <c r="J32" s="119"/>
      <c r="L32" s="120"/>
      <c r="M32" s="127"/>
    </row>
    <row r="33" spans="1:15" ht="15.75">
      <c r="A33" s="123" t="s">
        <v>113</v>
      </c>
      <c r="B33" s="143">
        <f>(3406*1.03)+100</f>
        <v>3608.1800000000003</v>
      </c>
      <c r="C33" s="114">
        <v>80</v>
      </c>
      <c r="D33" s="114">
        <v>20</v>
      </c>
      <c r="E33" s="114">
        <v>120</v>
      </c>
      <c r="F33" s="115">
        <f t="shared" si="1"/>
        <v>840</v>
      </c>
      <c r="G33" s="192">
        <v>13</v>
      </c>
      <c r="H33" s="176">
        <f t="shared" si="0"/>
        <v>4681.18</v>
      </c>
      <c r="I33" s="120"/>
      <c r="J33" s="119"/>
      <c r="L33" s="120"/>
      <c r="M33" s="127"/>
    </row>
    <row r="34" spans="1:15" ht="15.75">
      <c r="A34" s="123" t="s">
        <v>114</v>
      </c>
      <c r="B34" s="113">
        <f>(4163*1.03)+100</f>
        <v>4387.8900000000003</v>
      </c>
      <c r="C34" s="114">
        <v>80</v>
      </c>
      <c r="D34" s="114">
        <v>20</v>
      </c>
      <c r="E34" s="114">
        <v>120</v>
      </c>
      <c r="F34" s="115">
        <f t="shared" si="1"/>
        <v>840</v>
      </c>
      <c r="G34" s="192">
        <v>13</v>
      </c>
      <c r="H34" s="176">
        <f t="shared" si="0"/>
        <v>5460.89</v>
      </c>
      <c r="I34" s="120"/>
      <c r="J34" s="119"/>
      <c r="L34" s="120"/>
      <c r="M34" s="127"/>
    </row>
    <row r="35" spans="1:15" ht="15.75">
      <c r="A35" s="123" t="s">
        <v>115</v>
      </c>
      <c r="B35" s="113">
        <f>(3406*1.03)+100</f>
        <v>3608.1800000000003</v>
      </c>
      <c r="C35" s="114">
        <v>80</v>
      </c>
      <c r="D35" s="114">
        <v>20</v>
      </c>
      <c r="E35" s="114">
        <v>120</v>
      </c>
      <c r="F35" s="115">
        <f t="shared" si="1"/>
        <v>840</v>
      </c>
      <c r="G35" s="192">
        <v>13</v>
      </c>
      <c r="H35" s="176">
        <f t="shared" si="0"/>
        <v>4681.18</v>
      </c>
      <c r="I35" s="120"/>
      <c r="J35" s="119"/>
      <c r="L35" s="120"/>
      <c r="M35" s="127"/>
    </row>
    <row r="36" spans="1:15" ht="15.75">
      <c r="A36" s="123" t="s">
        <v>116</v>
      </c>
      <c r="B36" s="113">
        <f>(3406*1.03)+100</f>
        <v>3608.1800000000003</v>
      </c>
      <c r="C36" s="114">
        <v>80</v>
      </c>
      <c r="D36" s="114">
        <v>20</v>
      </c>
      <c r="E36" s="114">
        <v>120</v>
      </c>
      <c r="F36" s="115">
        <f t="shared" si="1"/>
        <v>840</v>
      </c>
      <c r="G36" s="192">
        <v>13</v>
      </c>
      <c r="H36" s="176">
        <f t="shared" si="0"/>
        <v>4681.18</v>
      </c>
      <c r="I36" s="120"/>
      <c r="J36" s="119"/>
      <c r="L36" s="120"/>
      <c r="M36" s="127"/>
    </row>
    <row r="37" spans="1:15" ht="15.75">
      <c r="A37" s="123" t="s">
        <v>117</v>
      </c>
      <c r="B37" s="113">
        <f>(3406*1.03)+100</f>
        <v>3608.1800000000003</v>
      </c>
      <c r="C37" s="114">
        <v>80</v>
      </c>
      <c r="D37" s="114">
        <v>20</v>
      </c>
      <c r="E37" s="114">
        <v>120</v>
      </c>
      <c r="F37" s="115">
        <f t="shared" si="1"/>
        <v>840</v>
      </c>
      <c r="G37" s="192">
        <v>13</v>
      </c>
      <c r="H37" s="176">
        <f t="shared" si="0"/>
        <v>4681.18</v>
      </c>
      <c r="I37" s="120"/>
      <c r="J37" s="119"/>
      <c r="L37" s="120"/>
      <c r="M37" s="127"/>
    </row>
    <row r="38" spans="1:15" ht="15.75">
      <c r="A38" s="9"/>
      <c r="B38" s="120"/>
      <c r="C38" s="119"/>
      <c r="D38" s="119"/>
      <c r="E38" s="119"/>
      <c r="F38" s="119"/>
      <c r="G38" s="119"/>
      <c r="H38" s="120"/>
      <c r="I38" s="120"/>
      <c r="J38" s="126"/>
      <c r="K38" s="120"/>
      <c r="L38" s="119"/>
      <c r="M38" s="119"/>
      <c r="N38" s="120"/>
      <c r="O38" s="127"/>
    </row>
    <row r="39" spans="1:15" ht="15.75">
      <c r="A39" s="9"/>
      <c r="B39" s="120"/>
      <c r="C39" s="119"/>
      <c r="D39" s="119"/>
      <c r="E39" s="119"/>
      <c r="F39" s="119"/>
      <c r="G39" s="119"/>
      <c r="H39" s="120"/>
      <c r="I39" s="120"/>
      <c r="J39" s="127"/>
      <c r="K39" s="120"/>
      <c r="L39" s="119"/>
      <c r="M39" s="119"/>
      <c r="N39" s="120"/>
      <c r="O39" s="127"/>
    </row>
    <row r="40" spans="1:15">
      <c r="M40" s="117"/>
    </row>
    <row r="41" spans="1:15">
      <c r="M41" s="117"/>
    </row>
    <row r="42" spans="1:15">
      <c r="M42" s="117"/>
    </row>
    <row r="43" spans="1:15" ht="20.25">
      <c r="A43" s="303" t="s">
        <v>137</v>
      </c>
      <c r="B43" s="303"/>
      <c r="C43" s="303"/>
      <c r="D43" s="303"/>
      <c r="E43" s="303"/>
      <c r="F43" s="303"/>
      <c r="G43" s="303"/>
      <c r="H43" s="303"/>
      <c r="I43" s="155"/>
      <c r="J43" s="155"/>
      <c r="K43" s="68"/>
      <c r="L43" s="68"/>
      <c r="M43" s="68"/>
      <c r="N43" s="68"/>
      <c r="O43" s="68"/>
    </row>
    <row r="44" spans="1:15" ht="20.25">
      <c r="A44" s="317" t="s">
        <v>118</v>
      </c>
      <c r="B44" s="317"/>
      <c r="C44" s="317"/>
      <c r="D44" s="317"/>
      <c r="E44" s="317"/>
      <c r="F44" s="317"/>
      <c r="G44" s="317"/>
      <c r="H44" s="317"/>
      <c r="I44" s="156"/>
      <c r="J44" s="156"/>
      <c r="K44" s="104"/>
      <c r="L44" s="104"/>
      <c r="M44" s="104"/>
      <c r="N44" s="104"/>
      <c r="O44" s="104"/>
    </row>
    <row r="45" spans="1:15" ht="18.75">
      <c r="A45" s="105"/>
      <c r="B45" s="321" t="s">
        <v>149</v>
      </c>
      <c r="C45" s="322"/>
      <c r="D45" s="322"/>
      <c r="E45" s="322"/>
      <c r="F45" s="322"/>
      <c r="G45" s="322"/>
      <c r="H45" s="322"/>
      <c r="I45" s="151"/>
      <c r="J45" s="151"/>
      <c r="K45" s="328"/>
      <c r="L45" s="320"/>
      <c r="M45" s="320"/>
      <c r="N45" s="320"/>
      <c r="O45" s="320"/>
    </row>
    <row r="46" spans="1:15" ht="42.75">
      <c r="A46" s="106" t="s">
        <v>2</v>
      </c>
      <c r="B46" s="107" t="s">
        <v>3</v>
      </c>
      <c r="C46" s="108" t="s">
        <v>4</v>
      </c>
      <c r="D46" s="109" t="s">
        <v>104</v>
      </c>
      <c r="E46" s="4" t="s">
        <v>6</v>
      </c>
      <c r="F46" s="111" t="s">
        <v>105</v>
      </c>
      <c r="G46" s="4" t="s">
        <v>9</v>
      </c>
      <c r="H46" s="188" t="s">
        <v>10</v>
      </c>
      <c r="I46" s="189"/>
      <c r="J46" s="131"/>
      <c r="K46" s="132"/>
      <c r="L46" s="133"/>
      <c r="M46" s="131"/>
    </row>
    <row r="47" spans="1:15" ht="15.75">
      <c r="A47" s="105"/>
      <c r="B47" s="7" t="s">
        <v>12</v>
      </c>
      <c r="C47" s="7" t="s">
        <v>12</v>
      </c>
      <c r="D47" s="7" t="s">
        <v>12</v>
      </c>
      <c r="E47" s="7" t="s">
        <v>12</v>
      </c>
      <c r="F47" s="7" t="s">
        <v>12</v>
      </c>
      <c r="G47" s="7" t="s">
        <v>12</v>
      </c>
      <c r="H47" s="190" t="s">
        <v>12</v>
      </c>
      <c r="I47" s="191"/>
      <c r="J47" s="3"/>
      <c r="K47" s="3"/>
      <c r="L47" s="3"/>
      <c r="M47" s="3"/>
    </row>
    <row r="48" spans="1:15" ht="15.75">
      <c r="A48" s="123" t="s">
        <v>119</v>
      </c>
      <c r="B48" s="143">
        <f>(4302*1.03)+100</f>
        <v>4531.0600000000004</v>
      </c>
      <c r="C48" s="114">
        <v>80</v>
      </c>
      <c r="D48" s="114">
        <v>20</v>
      </c>
      <c r="E48" s="114">
        <v>120</v>
      </c>
      <c r="F48" s="115">
        <v>600</v>
      </c>
      <c r="G48" s="192">
        <v>13</v>
      </c>
      <c r="H48" s="193">
        <f>SUM(B48:G48)</f>
        <v>5364.06</v>
      </c>
      <c r="I48" s="194"/>
      <c r="J48" s="119"/>
      <c r="L48" s="120"/>
      <c r="M48" s="127"/>
    </row>
    <row r="49" spans="1:15" ht="15.75">
      <c r="A49" s="123" t="s">
        <v>121</v>
      </c>
      <c r="B49" s="143">
        <f>(3228*1.03)+100</f>
        <v>3424.84</v>
      </c>
      <c r="C49" s="114">
        <v>80</v>
      </c>
      <c r="D49" s="114">
        <v>20</v>
      </c>
      <c r="E49" s="114">
        <v>120</v>
      </c>
      <c r="F49" s="115">
        <v>0</v>
      </c>
      <c r="G49" s="192">
        <v>13</v>
      </c>
      <c r="H49" s="193">
        <f>SUM(B49:G49)</f>
        <v>3657.84</v>
      </c>
      <c r="I49" s="194"/>
      <c r="J49" s="119"/>
      <c r="L49" s="119"/>
      <c r="M49" s="127"/>
    </row>
    <row r="50" spans="1:15" ht="15.75">
      <c r="A50" s="123" t="s">
        <v>122</v>
      </c>
      <c r="B50" s="143">
        <f>(3228*1.03)+100</f>
        <v>3424.84</v>
      </c>
      <c r="C50" s="114">
        <v>80</v>
      </c>
      <c r="D50" s="114">
        <v>20</v>
      </c>
      <c r="E50" s="114">
        <v>120</v>
      </c>
      <c r="F50" s="115">
        <v>0</v>
      </c>
      <c r="G50" s="192">
        <v>13</v>
      </c>
      <c r="H50" s="193">
        <f>SUM(B50:G50)</f>
        <v>3657.84</v>
      </c>
      <c r="I50" s="194"/>
      <c r="J50" s="119"/>
      <c r="L50" s="119"/>
      <c r="M50" s="127"/>
    </row>
    <row r="51" spans="1:15" ht="15.75">
      <c r="A51" s="9"/>
      <c r="B51" s="129"/>
      <c r="C51" s="130"/>
      <c r="D51" s="130"/>
      <c r="E51" s="130"/>
      <c r="F51" s="130"/>
      <c r="G51" s="130"/>
      <c r="H51" s="129"/>
      <c r="I51" s="129"/>
      <c r="J51" s="126"/>
      <c r="K51" s="129"/>
      <c r="L51" s="130"/>
      <c r="M51" s="130"/>
      <c r="N51" s="130"/>
      <c r="O51" s="127"/>
    </row>
    <row r="52" spans="1:15" ht="15.75">
      <c r="A52" s="9"/>
      <c r="B52" s="129"/>
      <c r="C52" s="130"/>
      <c r="D52" s="130"/>
      <c r="E52" s="119"/>
      <c r="F52" s="119"/>
      <c r="G52" s="119"/>
      <c r="H52" s="129"/>
      <c r="I52" s="129"/>
      <c r="J52" s="126"/>
      <c r="K52" s="129"/>
      <c r="L52" s="130"/>
      <c r="M52" s="130"/>
      <c r="N52" s="129"/>
      <c r="O52" s="127"/>
    </row>
    <row r="53" spans="1:15" ht="15.75">
      <c r="A53" s="9"/>
      <c r="B53" s="129"/>
      <c r="C53" s="130"/>
      <c r="D53" s="130"/>
      <c r="E53" s="119"/>
      <c r="F53" s="119"/>
      <c r="G53" s="119"/>
      <c r="H53" s="129"/>
      <c r="I53" s="129"/>
      <c r="J53" s="126"/>
      <c r="K53" s="129"/>
      <c r="L53" s="130"/>
      <c r="M53" s="130"/>
      <c r="N53" s="129"/>
      <c r="O53" s="127"/>
    </row>
    <row r="54" spans="1:15" ht="15.75">
      <c r="A54" s="9"/>
      <c r="B54" s="129"/>
      <c r="C54" s="130"/>
      <c r="D54" s="130"/>
      <c r="E54" s="119"/>
      <c r="F54" s="119"/>
      <c r="G54" s="119"/>
      <c r="H54" s="129"/>
      <c r="I54" s="129"/>
      <c r="J54" s="126"/>
      <c r="K54" s="129"/>
      <c r="L54" s="130"/>
      <c r="M54" s="130"/>
      <c r="N54" s="129"/>
      <c r="O54" s="127"/>
    </row>
    <row r="55" spans="1:15" ht="15.75">
      <c r="A55" s="9"/>
      <c r="B55" s="129"/>
      <c r="C55" s="130"/>
      <c r="D55" s="130"/>
      <c r="E55" s="119"/>
      <c r="F55" s="119"/>
      <c r="G55" s="119"/>
      <c r="H55" s="129"/>
      <c r="I55" s="129"/>
      <c r="J55" s="126"/>
      <c r="K55" s="129"/>
      <c r="L55" s="130"/>
      <c r="M55" s="130"/>
      <c r="N55" s="129"/>
      <c r="O55" s="127"/>
    </row>
    <row r="56" spans="1:15" ht="18.75">
      <c r="A56" s="303" t="s">
        <v>137</v>
      </c>
      <c r="B56" s="303"/>
      <c r="C56" s="303"/>
      <c r="D56" s="303"/>
      <c r="E56" s="303"/>
      <c r="F56" s="303"/>
      <c r="G56" s="303"/>
      <c r="H56" s="303"/>
      <c r="I56" s="303"/>
      <c r="J56" s="155"/>
      <c r="K56" s="155"/>
      <c r="L56" s="130"/>
      <c r="M56" s="130"/>
      <c r="N56" s="129"/>
      <c r="O56" s="127"/>
    </row>
    <row r="57" spans="1:15" ht="15.75">
      <c r="A57" s="325" t="s">
        <v>123</v>
      </c>
      <c r="B57" s="325"/>
      <c r="C57" s="325"/>
      <c r="D57" s="325"/>
      <c r="E57" s="325"/>
      <c r="F57" s="325"/>
      <c r="G57" s="325"/>
      <c r="H57" s="325"/>
      <c r="I57" s="325"/>
      <c r="J57" s="248"/>
      <c r="K57" s="248"/>
      <c r="L57" s="130"/>
      <c r="M57" s="130"/>
      <c r="N57" s="129"/>
      <c r="O57" s="127"/>
    </row>
    <row r="58" spans="1:15" ht="18.75">
      <c r="A58" s="105"/>
      <c r="B58" s="315" t="s">
        <v>150</v>
      </c>
      <c r="C58" s="315"/>
      <c r="D58" s="315"/>
      <c r="E58" s="315"/>
      <c r="F58" s="315"/>
      <c r="G58" s="315"/>
      <c r="H58" s="315"/>
      <c r="I58" s="315"/>
      <c r="J58" s="151"/>
      <c r="K58" s="151"/>
      <c r="L58" s="130"/>
      <c r="M58" s="130"/>
      <c r="N58" s="129"/>
      <c r="O58" s="127"/>
    </row>
    <row r="59" spans="1:15" ht="57">
      <c r="A59" s="106" t="s">
        <v>2</v>
      </c>
      <c r="B59" s="107" t="s">
        <v>3</v>
      </c>
      <c r="C59" s="108" t="s">
        <v>4</v>
      </c>
      <c r="D59" s="109" t="s">
        <v>104</v>
      </c>
      <c r="E59" s="4" t="s">
        <v>6</v>
      </c>
      <c r="F59" s="4" t="s">
        <v>151</v>
      </c>
      <c r="G59" s="111" t="s">
        <v>105</v>
      </c>
      <c r="H59" s="4" t="s">
        <v>9</v>
      </c>
      <c r="I59" s="108" t="s">
        <v>10</v>
      </c>
      <c r="J59" s="249"/>
      <c r="K59" s="129"/>
      <c r="L59" s="130"/>
      <c r="M59" s="130"/>
      <c r="N59" s="129"/>
      <c r="O59" s="127"/>
    </row>
    <row r="60" spans="1:15" ht="15.75">
      <c r="A60" s="105"/>
      <c r="B60" s="7" t="s">
        <v>12</v>
      </c>
      <c r="C60" s="7" t="s">
        <v>12</v>
      </c>
      <c r="D60" s="7" t="s">
        <v>12</v>
      </c>
      <c r="E60" s="7" t="s">
        <v>12</v>
      </c>
      <c r="F60" s="7" t="s">
        <v>12</v>
      </c>
      <c r="G60" s="7" t="s">
        <v>12</v>
      </c>
      <c r="H60" s="7" t="s">
        <v>12</v>
      </c>
      <c r="I60" s="190" t="s">
        <v>12</v>
      </c>
      <c r="J60" s="191"/>
      <c r="K60" s="129"/>
      <c r="L60" s="130"/>
      <c r="M60" s="130"/>
      <c r="N60" s="129"/>
      <c r="O60" s="127"/>
    </row>
    <row r="61" spans="1:15" ht="15.75">
      <c r="A61" s="123" t="s">
        <v>124</v>
      </c>
      <c r="B61" s="134">
        <f>(5298*1.06)+100</f>
        <v>5715.88</v>
      </c>
      <c r="C61" s="114">
        <v>80</v>
      </c>
      <c r="D61" s="114">
        <v>20</v>
      </c>
      <c r="E61" s="114">
        <v>120</v>
      </c>
      <c r="F61" s="114"/>
      <c r="G61" s="136">
        <v>1500</v>
      </c>
      <c r="H61" s="136">
        <v>13</v>
      </c>
      <c r="I61" s="176">
        <f>SUM(B61:H61)</f>
        <v>7448.88</v>
      </c>
      <c r="J61" s="195"/>
      <c r="K61" s="129"/>
      <c r="L61" s="130"/>
      <c r="M61" s="130"/>
      <c r="N61" s="129"/>
      <c r="O61" s="127"/>
    </row>
    <row r="62" spans="1:15" ht="18.75">
      <c r="A62" s="9"/>
      <c r="B62" s="315" t="s">
        <v>152</v>
      </c>
      <c r="C62" s="315"/>
      <c r="D62" s="315"/>
      <c r="E62" s="315"/>
      <c r="F62" s="315"/>
      <c r="G62" s="315"/>
      <c r="H62" s="329"/>
      <c r="I62" s="137"/>
      <c r="J62" s="137"/>
      <c r="K62" s="129"/>
      <c r="L62" s="130"/>
      <c r="M62" s="130"/>
      <c r="N62" s="129"/>
      <c r="O62" s="127"/>
    </row>
    <row r="63" spans="1:15" ht="15.75">
      <c r="A63" s="196" t="s">
        <v>153</v>
      </c>
      <c r="B63" s="197">
        <f>(5250*1.06)+50</f>
        <v>5615</v>
      </c>
      <c r="C63" s="198">
        <v>0</v>
      </c>
      <c r="D63" s="199">
        <v>0</v>
      </c>
      <c r="E63" s="200">
        <v>0</v>
      </c>
      <c r="F63" s="135">
        <v>220</v>
      </c>
      <c r="G63" s="114">
        <v>0</v>
      </c>
      <c r="H63" s="114">
        <v>13</v>
      </c>
      <c r="I63" s="116">
        <f>SUM(B63:H63)</f>
        <v>5848</v>
      </c>
      <c r="K63" s="129"/>
      <c r="L63" s="130"/>
      <c r="M63" s="130"/>
      <c r="N63" s="129"/>
      <c r="O63" s="127"/>
    </row>
    <row r="64" spans="1:15" ht="18.75">
      <c r="A64" s="9"/>
      <c r="B64" s="315" t="s">
        <v>154</v>
      </c>
      <c r="C64" s="315"/>
      <c r="D64" s="315"/>
      <c r="E64" s="315"/>
      <c r="F64" s="315"/>
      <c r="G64" s="315"/>
      <c r="H64" s="329"/>
      <c r="I64" s="201"/>
      <c r="J64" s="201"/>
      <c r="K64" s="129"/>
      <c r="L64" s="130"/>
      <c r="M64" s="130"/>
      <c r="N64" s="129"/>
      <c r="O64" s="127"/>
    </row>
    <row r="65" spans="1:15" ht="15.75">
      <c r="A65" s="202" t="s">
        <v>155</v>
      </c>
      <c r="B65" s="197">
        <f>5450+50</f>
        <v>5500</v>
      </c>
      <c r="C65" s="198">
        <v>0</v>
      </c>
      <c r="D65" s="199">
        <v>0</v>
      </c>
      <c r="E65" s="200">
        <v>0</v>
      </c>
      <c r="F65" s="135">
        <v>0</v>
      </c>
      <c r="G65" s="114">
        <v>0</v>
      </c>
      <c r="H65" s="114">
        <v>13</v>
      </c>
      <c r="I65" s="116">
        <f>SUM(B65:H65)</f>
        <v>5513</v>
      </c>
      <c r="J65" s="201"/>
      <c r="K65" s="129"/>
      <c r="L65" s="130"/>
      <c r="M65" s="130"/>
      <c r="N65" s="129"/>
      <c r="O65" s="127"/>
    </row>
    <row r="66" spans="1:15" ht="15.75">
      <c r="A66" s="9"/>
      <c r="B66" s="203"/>
      <c r="C66" s="119"/>
      <c r="D66" s="119"/>
      <c r="E66" s="119"/>
      <c r="F66" s="119"/>
      <c r="G66" s="119"/>
      <c r="H66" s="137"/>
      <c r="I66" s="137"/>
      <c r="J66" s="201"/>
      <c r="K66" s="129"/>
      <c r="L66" s="130"/>
      <c r="M66" s="130"/>
      <c r="N66" s="129"/>
      <c r="O66" s="127"/>
    </row>
    <row r="67" spans="1:15" ht="15.75">
      <c r="A67" s="9"/>
      <c r="B67" s="203"/>
      <c r="C67" s="119"/>
      <c r="D67" s="119"/>
      <c r="E67" s="119"/>
      <c r="F67" s="119"/>
      <c r="G67" s="119"/>
      <c r="H67" s="137"/>
      <c r="I67" s="137"/>
      <c r="J67" s="201"/>
      <c r="K67" s="129"/>
      <c r="L67" s="130"/>
      <c r="M67" s="130"/>
      <c r="N67" s="129"/>
      <c r="O67" s="127"/>
    </row>
    <row r="68" spans="1:15" ht="15.75">
      <c r="A68" s="9"/>
      <c r="B68" s="203"/>
      <c r="C68" s="119"/>
      <c r="D68" s="119"/>
      <c r="E68" s="119"/>
      <c r="F68" s="119"/>
      <c r="G68" s="119"/>
      <c r="H68" s="137"/>
      <c r="I68" s="137"/>
      <c r="J68" s="201"/>
      <c r="K68" s="129"/>
      <c r="L68" s="130"/>
      <c r="M68" s="130"/>
      <c r="N68" s="129"/>
      <c r="O68" s="127"/>
    </row>
    <row r="69" spans="1:15" ht="15.75">
      <c r="A69" s="9"/>
      <c r="B69" s="129"/>
      <c r="C69" s="130"/>
      <c r="D69" s="130"/>
      <c r="E69" s="119"/>
      <c r="F69" s="119"/>
      <c r="G69" s="119"/>
      <c r="H69" s="129"/>
      <c r="I69" s="129"/>
      <c r="J69" s="126"/>
      <c r="K69" s="129"/>
      <c r="L69" s="130"/>
      <c r="M69" s="130"/>
      <c r="N69" s="129"/>
      <c r="O69" s="127"/>
    </row>
    <row r="70" spans="1:15" ht="15.75">
      <c r="A70" s="9"/>
      <c r="B70" s="129"/>
      <c r="C70" s="130"/>
      <c r="D70" s="130"/>
      <c r="E70" s="130"/>
      <c r="F70" s="130"/>
      <c r="G70" s="130"/>
      <c r="H70" s="129"/>
      <c r="I70" s="129"/>
      <c r="J70" s="126"/>
      <c r="K70" s="129"/>
      <c r="L70" s="130"/>
      <c r="M70" s="130"/>
      <c r="N70" s="129"/>
      <c r="O70" s="127"/>
    </row>
    <row r="72" spans="1:15" ht="20.25">
      <c r="A72" s="303" t="s">
        <v>137</v>
      </c>
      <c r="B72" s="303"/>
      <c r="C72" s="303"/>
      <c r="D72" s="303"/>
      <c r="E72" s="303"/>
      <c r="F72" s="303"/>
      <c r="G72" s="303"/>
      <c r="H72" s="303"/>
      <c r="I72" s="155"/>
      <c r="J72" s="155"/>
      <c r="K72" s="68"/>
      <c r="L72" s="68"/>
      <c r="M72" s="68"/>
      <c r="N72" s="68"/>
      <c r="O72" s="68"/>
    </row>
    <row r="73" spans="1:15" ht="20.25">
      <c r="A73" s="317" t="s">
        <v>125</v>
      </c>
      <c r="B73" s="317"/>
      <c r="C73" s="317"/>
      <c r="D73" s="317"/>
      <c r="E73" s="317"/>
      <c r="F73" s="317"/>
      <c r="G73" s="317"/>
      <c r="H73" s="317"/>
      <c r="I73" s="156"/>
      <c r="J73" s="156"/>
      <c r="K73" s="104"/>
      <c r="L73" s="104"/>
      <c r="M73" s="104"/>
      <c r="N73" s="104"/>
      <c r="O73" s="104"/>
    </row>
    <row r="74" spans="1:15" ht="18.75">
      <c r="A74" s="105"/>
      <c r="B74" s="315" t="s">
        <v>149</v>
      </c>
      <c r="C74" s="315"/>
      <c r="D74" s="315"/>
      <c r="E74" s="315"/>
      <c r="F74" s="315"/>
      <c r="G74" s="315"/>
      <c r="H74" s="315"/>
      <c r="I74" s="151"/>
      <c r="J74" s="151"/>
      <c r="K74" s="328"/>
      <c r="L74" s="320"/>
      <c r="M74" s="320"/>
      <c r="N74" s="320"/>
      <c r="O74" s="320"/>
    </row>
    <row r="75" spans="1:15" ht="42.75">
      <c r="A75" s="106" t="s">
        <v>2</v>
      </c>
      <c r="B75" s="107" t="s">
        <v>3</v>
      </c>
      <c r="C75" s="108" t="s">
        <v>4</v>
      </c>
      <c r="D75" s="109" t="s">
        <v>104</v>
      </c>
      <c r="E75" s="4" t="s">
        <v>6</v>
      </c>
      <c r="F75" s="111" t="s">
        <v>105</v>
      </c>
      <c r="G75" s="4" t="s">
        <v>9</v>
      </c>
      <c r="H75" s="188" t="s">
        <v>10</v>
      </c>
      <c r="I75" s="189"/>
      <c r="J75" s="131"/>
      <c r="K75" s="132"/>
      <c r="L75" s="133"/>
      <c r="M75" s="131"/>
    </row>
    <row r="76" spans="1:15" ht="15.75">
      <c r="A76" s="105"/>
      <c r="B76" s="139" t="s">
        <v>39</v>
      </c>
      <c r="C76" s="139" t="s">
        <v>39</v>
      </c>
      <c r="D76" s="139" t="s">
        <v>39</v>
      </c>
      <c r="E76" s="7" t="s">
        <v>39</v>
      </c>
      <c r="F76" s="139" t="s">
        <v>39</v>
      </c>
      <c r="G76" s="139" t="s">
        <v>39</v>
      </c>
      <c r="H76" s="204" t="s">
        <v>39</v>
      </c>
      <c r="I76" s="205"/>
      <c r="J76" s="206"/>
      <c r="K76" s="206"/>
      <c r="L76" s="206"/>
      <c r="M76" s="206"/>
    </row>
    <row r="77" spans="1:15" ht="15.75">
      <c r="A77" s="123" t="s">
        <v>106</v>
      </c>
      <c r="B77" s="134">
        <f>1571+16</f>
        <v>1587</v>
      </c>
      <c r="C77" s="135">
        <v>9</v>
      </c>
      <c r="D77" s="135">
        <v>2</v>
      </c>
      <c r="E77" s="135">
        <v>15</v>
      </c>
      <c r="F77" s="136">
        <v>165</v>
      </c>
      <c r="G77" s="207">
        <v>2</v>
      </c>
      <c r="H77" s="193">
        <f>SUM(B77:G77)</f>
        <v>1780</v>
      </c>
      <c r="I77" s="195"/>
      <c r="J77" s="138"/>
      <c r="K77" s="138"/>
      <c r="L77" s="137"/>
      <c r="M77" s="127"/>
    </row>
    <row r="78" spans="1:15" ht="15.75">
      <c r="A78" s="123" t="s">
        <v>107</v>
      </c>
      <c r="B78" s="134">
        <f>3351.07+16</f>
        <v>3367.07</v>
      </c>
      <c r="C78" s="135">
        <v>9</v>
      </c>
      <c r="D78" s="135">
        <v>2</v>
      </c>
      <c r="E78" s="135">
        <v>15</v>
      </c>
      <c r="F78" s="136">
        <v>165</v>
      </c>
      <c r="G78" s="207">
        <v>2</v>
      </c>
      <c r="H78" s="193">
        <f>SUM(B78:G78)</f>
        <v>3560.07</v>
      </c>
      <c r="I78" s="195"/>
      <c r="J78" s="138"/>
      <c r="K78" s="138"/>
      <c r="L78" s="137"/>
      <c r="M78" s="127"/>
    </row>
    <row r="79" spans="1:15" ht="15.75">
      <c r="A79" s="9"/>
      <c r="B79" s="203"/>
      <c r="C79" s="138"/>
      <c r="D79" s="138"/>
      <c r="E79" s="138"/>
      <c r="F79" s="138"/>
      <c r="G79" s="138"/>
      <c r="H79" s="137"/>
      <c r="I79" s="137"/>
      <c r="J79" s="201"/>
      <c r="K79" s="137"/>
      <c r="L79" s="138"/>
      <c r="M79" s="138"/>
      <c r="N79" s="137"/>
      <c r="O79" s="127"/>
    </row>
    <row r="80" spans="1:15" ht="15.75">
      <c r="A80" s="9"/>
      <c r="B80" s="129"/>
      <c r="C80" s="130"/>
      <c r="D80" s="130"/>
      <c r="E80" s="130"/>
      <c r="F80" s="130"/>
      <c r="G80" s="130"/>
      <c r="H80" s="129"/>
      <c r="I80" s="129"/>
      <c r="J80" s="126"/>
      <c r="K80" s="129"/>
      <c r="L80" s="130"/>
      <c r="M80" s="130"/>
      <c r="N80" s="129"/>
      <c r="O80" s="127"/>
    </row>
    <row r="81" spans="1:15" ht="15.75">
      <c r="B81" s="129"/>
      <c r="C81" s="130"/>
      <c r="D81" s="130"/>
      <c r="E81" s="130"/>
      <c r="F81" s="130"/>
      <c r="G81" s="130"/>
      <c r="H81" s="129"/>
      <c r="I81" s="129"/>
      <c r="J81" s="126"/>
      <c r="K81" s="129"/>
      <c r="L81" s="130"/>
      <c r="M81" s="130"/>
      <c r="N81" s="129"/>
      <c r="O81" s="127"/>
    </row>
    <row r="82" spans="1:15" ht="15.75">
      <c r="B82" s="129"/>
      <c r="C82" s="130"/>
      <c r="D82" s="130"/>
      <c r="E82" s="130"/>
      <c r="F82" s="130"/>
      <c r="G82" s="130"/>
      <c r="H82" s="129"/>
      <c r="I82" s="129"/>
      <c r="J82" s="126"/>
      <c r="K82" s="129"/>
      <c r="L82" s="130"/>
      <c r="M82" s="130"/>
      <c r="N82" s="129"/>
      <c r="O82" s="127"/>
    </row>
    <row r="83" spans="1:15" ht="15.75">
      <c r="B83" s="129"/>
      <c r="C83" s="130"/>
      <c r="D83" s="130"/>
      <c r="E83" s="130"/>
      <c r="F83" s="130"/>
      <c r="G83" s="130"/>
      <c r="H83" s="129"/>
      <c r="I83" s="129"/>
      <c r="J83" s="126"/>
      <c r="K83" s="129"/>
      <c r="L83" s="130"/>
      <c r="M83" s="130"/>
      <c r="N83" s="129"/>
      <c r="O83" s="127"/>
    </row>
    <row r="84" spans="1:15" ht="20.25">
      <c r="A84" s="303" t="s">
        <v>137</v>
      </c>
      <c r="B84" s="303"/>
      <c r="C84" s="303"/>
      <c r="D84" s="303"/>
      <c r="E84" s="303"/>
      <c r="F84" s="303"/>
      <c r="G84" s="303"/>
      <c r="H84" s="303"/>
      <c r="I84" s="155"/>
      <c r="J84" s="155"/>
      <c r="K84" s="68"/>
      <c r="L84" s="68"/>
      <c r="M84" s="68"/>
      <c r="N84" s="68"/>
      <c r="O84" s="68"/>
    </row>
    <row r="85" spans="1:15" ht="20.25">
      <c r="A85" s="316" t="s">
        <v>126</v>
      </c>
      <c r="B85" s="316"/>
      <c r="C85" s="316"/>
      <c r="D85" s="316"/>
      <c r="E85" s="316"/>
      <c r="F85" s="316"/>
      <c r="G85" s="316"/>
      <c r="H85" s="316"/>
      <c r="I85" s="154"/>
      <c r="J85" s="154"/>
      <c r="K85" s="250"/>
      <c r="L85" s="104"/>
      <c r="M85" s="104"/>
      <c r="N85" s="104"/>
      <c r="O85" s="104"/>
    </row>
    <row r="86" spans="1:15" ht="18.75">
      <c r="A86" s="105"/>
      <c r="B86" s="315" t="s">
        <v>149</v>
      </c>
      <c r="C86" s="315"/>
      <c r="D86" s="315"/>
      <c r="E86" s="315"/>
      <c r="F86" s="315"/>
      <c r="G86" s="315"/>
      <c r="H86" s="315"/>
      <c r="I86" s="151"/>
      <c r="J86" s="151"/>
      <c r="K86" s="328"/>
      <c r="L86" s="328"/>
      <c r="M86" s="328"/>
      <c r="N86" s="328"/>
      <c r="O86" s="328"/>
    </row>
    <row r="87" spans="1:15" ht="42.75">
      <c r="A87" s="106" t="s">
        <v>2</v>
      </c>
      <c r="B87" s="107" t="s">
        <v>3</v>
      </c>
      <c r="C87" s="108" t="s">
        <v>4</v>
      </c>
      <c r="D87" s="109" t="s">
        <v>104</v>
      </c>
      <c r="E87" s="4" t="s">
        <v>6</v>
      </c>
      <c r="F87" s="111" t="s">
        <v>105</v>
      </c>
      <c r="G87" s="4" t="s">
        <v>9</v>
      </c>
      <c r="H87" s="188" t="s">
        <v>10</v>
      </c>
      <c r="I87" s="189"/>
      <c r="J87" s="131"/>
      <c r="K87" s="132"/>
      <c r="L87" s="133"/>
      <c r="M87" s="131"/>
    </row>
    <row r="88" spans="1:15" ht="15.75">
      <c r="A88" s="105"/>
      <c r="B88" s="139" t="s">
        <v>39</v>
      </c>
      <c r="C88" s="139" t="s">
        <v>39</v>
      </c>
      <c r="D88" s="139" t="s">
        <v>39</v>
      </c>
      <c r="E88" s="7" t="s">
        <v>39</v>
      </c>
      <c r="F88" s="139" t="s">
        <v>39</v>
      </c>
      <c r="G88" s="139" t="s">
        <v>39</v>
      </c>
      <c r="H88" s="204" t="s">
        <v>39</v>
      </c>
      <c r="I88" s="205"/>
      <c r="J88" s="206"/>
      <c r="K88" s="206"/>
      <c r="L88" s="206"/>
      <c r="M88" s="206"/>
    </row>
    <row r="89" spans="1:15" ht="15.75">
      <c r="A89" s="123" t="s">
        <v>109</v>
      </c>
      <c r="B89" s="134">
        <f>1851+16</f>
        <v>1867</v>
      </c>
      <c r="C89" s="135">
        <v>9</v>
      </c>
      <c r="D89" s="135">
        <v>2</v>
      </c>
      <c r="E89" s="135">
        <v>15</v>
      </c>
      <c r="F89" s="136">
        <v>200</v>
      </c>
      <c r="G89" s="207">
        <v>2</v>
      </c>
      <c r="H89" s="193">
        <f>SUM(B89:G89)</f>
        <v>2095</v>
      </c>
      <c r="I89" s="195"/>
      <c r="J89" s="138"/>
      <c r="K89" s="138"/>
      <c r="L89" s="137"/>
      <c r="M89" s="127"/>
    </row>
    <row r="90" spans="1:15">
      <c r="A90" s="112" t="s">
        <v>156</v>
      </c>
      <c r="B90" s="134">
        <f>1851+16</f>
        <v>1867</v>
      </c>
      <c r="C90" s="135">
        <v>9</v>
      </c>
      <c r="D90" s="135">
        <v>2</v>
      </c>
      <c r="E90" s="135">
        <v>15</v>
      </c>
      <c r="F90" s="136">
        <v>165</v>
      </c>
      <c r="G90" s="207">
        <v>2</v>
      </c>
      <c r="H90" s="193">
        <f>SUM(B90:G90)</f>
        <v>2060</v>
      </c>
      <c r="I90" s="195"/>
      <c r="J90" s="138"/>
      <c r="K90" s="138"/>
      <c r="L90" s="137"/>
      <c r="M90" s="127"/>
    </row>
    <row r="91" spans="1:15" ht="15.75">
      <c r="B91" s="129"/>
      <c r="C91" s="130"/>
      <c r="D91" s="130"/>
      <c r="E91" s="130"/>
      <c r="F91" s="130"/>
      <c r="G91" s="130"/>
      <c r="H91" s="129"/>
      <c r="I91" s="129"/>
      <c r="J91" s="126"/>
      <c r="K91" s="129"/>
      <c r="L91" s="130"/>
      <c r="M91" s="130"/>
      <c r="N91" s="129"/>
      <c r="O91" s="127"/>
    </row>
    <row r="92" spans="1:15" ht="15.75">
      <c r="A92" s="170"/>
      <c r="B92" s="129"/>
      <c r="C92" s="130"/>
      <c r="D92" s="130"/>
      <c r="E92" s="130"/>
      <c r="F92" s="130"/>
      <c r="G92" s="130"/>
      <c r="H92" s="129"/>
      <c r="I92" s="129"/>
      <c r="J92" s="126"/>
      <c r="K92" s="129"/>
      <c r="L92" s="130"/>
      <c r="M92" s="130"/>
      <c r="N92" s="129"/>
      <c r="O92" s="127"/>
    </row>
    <row r="93" spans="1:15" ht="15.75">
      <c r="B93" s="129"/>
      <c r="C93" s="130"/>
      <c r="D93" s="130"/>
      <c r="E93" s="130"/>
      <c r="F93" s="130"/>
      <c r="G93" s="130"/>
      <c r="H93" s="129"/>
      <c r="I93" s="129"/>
      <c r="J93" s="126"/>
      <c r="K93" s="129"/>
      <c r="L93" s="130"/>
      <c r="M93" s="130"/>
      <c r="N93" s="129"/>
      <c r="O93" s="127"/>
    </row>
    <row r="94" spans="1:15" ht="15.75">
      <c r="A94" s="9"/>
      <c r="B94" s="129"/>
      <c r="C94" s="130"/>
      <c r="D94" s="130"/>
      <c r="E94" s="130"/>
      <c r="F94" s="130"/>
      <c r="G94" s="130"/>
      <c r="H94" s="129"/>
      <c r="I94" s="129"/>
      <c r="J94" s="126"/>
      <c r="K94" s="129"/>
      <c r="L94" s="130"/>
      <c r="M94" s="130"/>
      <c r="N94" s="129"/>
      <c r="O94" s="127"/>
    </row>
    <row r="95" spans="1:15" ht="15.75">
      <c r="A95" s="303" t="s">
        <v>137</v>
      </c>
      <c r="B95" s="303"/>
      <c r="C95" s="303"/>
      <c r="D95" s="303"/>
      <c r="E95" s="303"/>
      <c r="F95" s="303"/>
      <c r="G95" s="303"/>
      <c r="H95" s="303"/>
      <c r="I95" s="129"/>
      <c r="J95" s="126"/>
      <c r="K95" s="129"/>
      <c r="L95" s="130"/>
      <c r="M95" s="130"/>
      <c r="N95" s="129"/>
      <c r="O95" s="127"/>
    </row>
    <row r="96" spans="1:15" ht="20.25">
      <c r="A96" s="303"/>
      <c r="B96" s="303"/>
      <c r="C96" s="303"/>
      <c r="D96" s="303"/>
      <c r="E96" s="303"/>
      <c r="F96" s="303"/>
      <c r="G96" s="303"/>
      <c r="H96" s="303"/>
      <c r="I96" s="155"/>
      <c r="J96" s="155"/>
      <c r="K96" s="68"/>
      <c r="L96" s="68"/>
      <c r="M96" s="68"/>
      <c r="N96" s="68"/>
      <c r="O96" s="68"/>
    </row>
    <row r="97" spans="1:15" ht="20.25">
      <c r="A97" s="317" t="s">
        <v>127</v>
      </c>
      <c r="B97" s="317"/>
      <c r="C97" s="317"/>
      <c r="D97" s="317"/>
      <c r="E97" s="317"/>
      <c r="F97" s="317"/>
      <c r="G97" s="317"/>
      <c r="H97" s="317"/>
      <c r="I97" s="156"/>
      <c r="J97" s="156"/>
      <c r="K97" s="104"/>
      <c r="L97" s="104"/>
      <c r="M97" s="104"/>
      <c r="N97" s="104"/>
      <c r="O97" s="104"/>
    </row>
    <row r="98" spans="1:15" ht="18.75">
      <c r="A98" s="105"/>
      <c r="B98" s="315" t="s">
        <v>157</v>
      </c>
      <c r="C98" s="315"/>
      <c r="D98" s="315"/>
      <c r="E98" s="315"/>
      <c r="F98" s="315"/>
      <c r="G98" s="315"/>
      <c r="H98" s="315"/>
      <c r="I98" s="151"/>
      <c r="J98" s="151"/>
      <c r="K98" s="328"/>
      <c r="L98" s="320"/>
      <c r="M98" s="320"/>
      <c r="N98" s="320"/>
      <c r="O98" s="320"/>
    </row>
    <row r="99" spans="1:15" ht="42.75">
      <c r="A99" s="106" t="s">
        <v>2</v>
      </c>
      <c r="B99" s="140" t="s">
        <v>3</v>
      </c>
      <c r="C99" s="141" t="s">
        <v>4</v>
      </c>
      <c r="D99" s="142" t="s">
        <v>104</v>
      </c>
      <c r="E99" s="4" t="s">
        <v>6</v>
      </c>
      <c r="F99" s="111" t="s">
        <v>105</v>
      </c>
      <c r="G99" s="4" t="s">
        <v>9</v>
      </c>
      <c r="H99" s="188" t="s">
        <v>10</v>
      </c>
      <c r="I99" s="208"/>
      <c r="J99" s="209"/>
      <c r="K99" s="210"/>
      <c r="L99" s="133"/>
      <c r="M99" s="131"/>
    </row>
    <row r="100" spans="1:15" ht="15.75">
      <c r="A100" s="105"/>
      <c r="B100" s="139" t="s">
        <v>39</v>
      </c>
      <c r="C100" s="139" t="s">
        <v>39</v>
      </c>
      <c r="D100" s="139" t="s">
        <v>39</v>
      </c>
      <c r="E100" s="7" t="s">
        <v>39</v>
      </c>
      <c r="F100" s="139" t="s">
        <v>39</v>
      </c>
      <c r="G100" s="204" t="s">
        <v>39</v>
      </c>
      <c r="H100" s="204" t="s">
        <v>39</v>
      </c>
      <c r="I100" s="205"/>
      <c r="J100" s="206"/>
      <c r="K100" s="206"/>
      <c r="L100" s="206"/>
      <c r="M100" s="206"/>
    </row>
    <row r="101" spans="1:15" ht="15.75">
      <c r="A101" s="123" t="s">
        <v>111</v>
      </c>
      <c r="B101" s="134">
        <f>2512+16</f>
        <v>2528</v>
      </c>
      <c r="C101" s="135">
        <v>9</v>
      </c>
      <c r="D101" s="135">
        <v>2</v>
      </c>
      <c r="E101" s="135">
        <v>15</v>
      </c>
      <c r="F101" s="136">
        <v>153</v>
      </c>
      <c r="G101" s="207">
        <v>2</v>
      </c>
      <c r="H101" s="193">
        <f>SUM(B101:G101)</f>
        <v>2709</v>
      </c>
      <c r="I101" s="195"/>
      <c r="J101" s="138"/>
      <c r="K101" s="138"/>
      <c r="L101" s="137"/>
      <c r="M101" s="127"/>
    </row>
    <row r="102" spans="1:15" ht="15.75">
      <c r="A102" s="123" t="s">
        <v>112</v>
      </c>
      <c r="B102" s="134">
        <f>2512+16</f>
        <v>2528</v>
      </c>
      <c r="C102" s="135">
        <v>9</v>
      </c>
      <c r="D102" s="135">
        <v>2</v>
      </c>
      <c r="E102" s="135">
        <v>15</v>
      </c>
      <c r="F102" s="136">
        <v>153</v>
      </c>
      <c r="G102" s="207">
        <v>2</v>
      </c>
      <c r="H102" s="193">
        <f>SUM(B102:G102)</f>
        <v>2709</v>
      </c>
      <c r="I102" s="195"/>
      <c r="J102" s="138"/>
      <c r="K102" s="138"/>
      <c r="L102" s="137"/>
      <c r="M102" s="127"/>
    </row>
    <row r="103" spans="1:15" ht="15.75">
      <c r="A103" s="123" t="s">
        <v>113</v>
      </c>
      <c r="B103" s="134">
        <f>2258+16</f>
        <v>2274</v>
      </c>
      <c r="C103" s="135">
        <v>9</v>
      </c>
      <c r="D103" s="135">
        <v>2</v>
      </c>
      <c r="E103" s="135">
        <v>15</v>
      </c>
      <c r="F103" s="136">
        <v>153</v>
      </c>
      <c r="G103" s="207">
        <v>2</v>
      </c>
      <c r="H103" s="193">
        <f>SUM(B103:G103)</f>
        <v>2455</v>
      </c>
      <c r="I103" s="195"/>
      <c r="J103" s="138"/>
      <c r="K103" s="138"/>
      <c r="L103" s="137"/>
      <c r="M103" s="127"/>
    </row>
    <row r="104" spans="1:15" ht="15.75">
      <c r="A104" s="9"/>
      <c r="B104" s="137"/>
      <c r="C104" s="138"/>
      <c r="D104" s="138"/>
      <c r="E104" s="138"/>
      <c r="F104" s="138"/>
      <c r="G104" s="138"/>
      <c r="H104" s="137"/>
      <c r="I104" s="137"/>
      <c r="J104" s="126"/>
      <c r="K104" s="137"/>
      <c r="L104" s="138"/>
      <c r="M104" s="138"/>
      <c r="N104" s="137"/>
      <c r="O104" s="127"/>
    </row>
    <row r="105" spans="1:15" ht="15.75">
      <c r="A105" s="9"/>
      <c r="B105" s="129"/>
      <c r="C105" s="130"/>
      <c r="D105" s="130"/>
      <c r="E105" s="130"/>
      <c r="F105" s="130"/>
      <c r="G105" s="130"/>
      <c r="H105" s="129"/>
      <c r="I105" s="129"/>
      <c r="J105" s="126"/>
      <c r="K105" s="129"/>
      <c r="L105" s="130"/>
      <c r="M105" s="130"/>
      <c r="N105" s="129"/>
      <c r="O105" s="127"/>
    </row>
    <row r="106" spans="1:15" ht="15.75">
      <c r="A106" s="9"/>
      <c r="B106" s="129"/>
      <c r="C106" s="130"/>
      <c r="D106" s="130"/>
      <c r="E106" s="130"/>
      <c r="F106" s="130"/>
      <c r="G106" s="130"/>
      <c r="H106" s="129"/>
      <c r="I106" s="129"/>
      <c r="J106" s="126"/>
      <c r="K106" s="129"/>
      <c r="L106" s="130"/>
      <c r="M106" s="130"/>
      <c r="N106" s="129"/>
      <c r="O106" s="127"/>
    </row>
    <row r="107" spans="1:15" ht="15.75">
      <c r="A107" s="9"/>
      <c r="B107" s="129"/>
      <c r="C107" s="130"/>
      <c r="D107" s="130"/>
      <c r="E107" s="130"/>
      <c r="F107" s="130"/>
      <c r="G107" s="130"/>
      <c r="H107" s="129"/>
      <c r="I107" s="129"/>
      <c r="J107" s="126"/>
      <c r="K107" s="129"/>
      <c r="L107" s="130"/>
      <c r="M107" s="130"/>
      <c r="N107" s="129"/>
      <c r="O107" s="127"/>
    </row>
    <row r="108" spans="1:15" ht="15.75">
      <c r="A108" s="9"/>
      <c r="B108" s="129"/>
      <c r="C108" s="130"/>
      <c r="D108" s="130"/>
      <c r="E108" s="130"/>
      <c r="F108" s="130"/>
      <c r="G108" s="130"/>
      <c r="H108" s="129"/>
      <c r="I108" s="129"/>
      <c r="J108" s="126"/>
      <c r="K108" s="129"/>
      <c r="L108" s="130"/>
      <c r="M108" s="130"/>
      <c r="N108" s="129"/>
      <c r="O108" s="127"/>
    </row>
    <row r="109" spans="1:15" ht="20.25">
      <c r="A109" s="303" t="s">
        <v>137</v>
      </c>
      <c r="B109" s="303"/>
      <c r="C109" s="303"/>
      <c r="D109" s="303"/>
      <c r="E109" s="303"/>
      <c r="F109" s="303"/>
      <c r="G109" s="303"/>
      <c r="H109" s="303"/>
      <c r="I109" s="155"/>
      <c r="J109" s="155"/>
      <c r="K109" s="68"/>
      <c r="L109" s="68"/>
      <c r="M109" s="68"/>
      <c r="N109" s="68"/>
      <c r="O109" s="68"/>
    </row>
    <row r="110" spans="1:15" ht="20.25">
      <c r="A110" s="317" t="s">
        <v>127</v>
      </c>
      <c r="B110" s="317"/>
      <c r="C110" s="317"/>
      <c r="D110" s="317"/>
      <c r="E110" s="317"/>
      <c r="F110" s="317"/>
      <c r="G110" s="317"/>
      <c r="H110" s="317"/>
      <c r="I110" s="156"/>
      <c r="J110" s="156"/>
      <c r="K110" s="104"/>
      <c r="L110" s="104"/>
      <c r="M110" s="104"/>
      <c r="N110" s="104"/>
      <c r="O110" s="104"/>
    </row>
    <row r="111" spans="1:15" ht="18.75">
      <c r="A111" s="105"/>
      <c r="B111" s="315" t="s">
        <v>158</v>
      </c>
      <c r="C111" s="315"/>
      <c r="D111" s="315"/>
      <c r="E111" s="315"/>
      <c r="F111" s="315"/>
      <c r="G111" s="315"/>
      <c r="H111" s="315"/>
      <c r="I111" s="151"/>
      <c r="J111" s="151"/>
      <c r="K111" s="328"/>
      <c r="L111" s="320"/>
      <c r="M111" s="320"/>
      <c r="N111" s="320"/>
      <c r="O111" s="320"/>
    </row>
    <row r="112" spans="1:15" ht="42.75">
      <c r="A112" s="106" t="s">
        <v>2</v>
      </c>
      <c r="B112" s="140" t="s">
        <v>3</v>
      </c>
      <c r="C112" s="141" t="s">
        <v>4</v>
      </c>
      <c r="D112" s="142" t="s">
        <v>104</v>
      </c>
      <c r="E112" s="4" t="s">
        <v>6</v>
      </c>
      <c r="F112" s="111" t="s">
        <v>105</v>
      </c>
      <c r="G112" s="4" t="s">
        <v>9</v>
      </c>
      <c r="H112" s="188" t="s">
        <v>10</v>
      </c>
      <c r="I112" s="208"/>
      <c r="J112" s="209"/>
      <c r="K112" s="210"/>
      <c r="L112" s="133"/>
      <c r="M112" s="131"/>
    </row>
    <row r="113" spans="1:15" ht="15.75">
      <c r="A113" s="105"/>
      <c r="B113" s="139" t="s">
        <v>39</v>
      </c>
      <c r="C113" s="139" t="s">
        <v>39</v>
      </c>
      <c r="D113" s="139" t="s">
        <v>39</v>
      </c>
      <c r="E113" s="7" t="s">
        <v>39</v>
      </c>
      <c r="F113" s="139" t="s">
        <v>39</v>
      </c>
      <c r="G113" s="139" t="s">
        <v>39</v>
      </c>
      <c r="H113" s="204" t="s">
        <v>39</v>
      </c>
      <c r="I113" s="205"/>
      <c r="J113" s="206"/>
      <c r="K113" s="206"/>
      <c r="L113" s="206"/>
      <c r="M113" s="206"/>
    </row>
    <row r="114" spans="1:15" ht="15.75">
      <c r="A114" s="123" t="s">
        <v>111</v>
      </c>
      <c r="B114" s="134">
        <f>2512+16</f>
        <v>2528</v>
      </c>
      <c r="C114" s="135">
        <v>9</v>
      </c>
      <c r="D114" s="135">
        <v>2</v>
      </c>
      <c r="E114" s="135">
        <v>15</v>
      </c>
      <c r="F114" s="136">
        <f>153*1.2</f>
        <v>183.6</v>
      </c>
      <c r="G114" s="207">
        <v>2</v>
      </c>
      <c r="H114" s="193">
        <f>SUM(B114:G114)</f>
        <v>2739.6</v>
      </c>
      <c r="I114" s="195"/>
      <c r="J114" s="138"/>
      <c r="K114" s="138"/>
      <c r="L114" s="137"/>
      <c r="M114" s="127"/>
    </row>
    <row r="115" spans="1:15" ht="15.75">
      <c r="A115" s="123" t="s">
        <v>112</v>
      </c>
      <c r="B115" s="134">
        <f>2512+16</f>
        <v>2528</v>
      </c>
      <c r="C115" s="135">
        <v>9</v>
      </c>
      <c r="D115" s="135">
        <v>2</v>
      </c>
      <c r="E115" s="135">
        <v>15</v>
      </c>
      <c r="F115" s="136">
        <v>153</v>
      </c>
      <c r="G115" s="207">
        <v>2</v>
      </c>
      <c r="H115" s="193">
        <f>SUM(B115:G115)</f>
        <v>2709</v>
      </c>
      <c r="I115" s="195"/>
      <c r="J115" s="138"/>
      <c r="K115" s="138"/>
      <c r="L115" s="137"/>
      <c r="M115" s="127"/>
    </row>
    <row r="116" spans="1:15" ht="15.75">
      <c r="A116" s="123" t="s">
        <v>113</v>
      </c>
      <c r="B116" s="134">
        <f>2258+16</f>
        <v>2274</v>
      </c>
      <c r="C116" s="135">
        <v>9</v>
      </c>
      <c r="D116" s="135">
        <v>2</v>
      </c>
      <c r="E116" s="135">
        <v>15</v>
      </c>
      <c r="F116" s="136">
        <v>153</v>
      </c>
      <c r="G116" s="207">
        <v>2</v>
      </c>
      <c r="H116" s="193">
        <f>SUM(B116:G116)</f>
        <v>2455</v>
      </c>
      <c r="I116" s="195"/>
      <c r="J116" s="138"/>
      <c r="K116" s="138"/>
      <c r="L116" s="137"/>
      <c r="M116" s="127"/>
    </row>
    <row r="117" spans="1:15" ht="15.75">
      <c r="A117" s="9"/>
      <c r="B117" s="137"/>
      <c r="C117" s="138"/>
      <c r="D117" s="138"/>
      <c r="E117" s="138"/>
      <c r="F117" s="138"/>
      <c r="G117" s="138"/>
      <c r="H117" s="137"/>
      <c r="I117" s="137"/>
      <c r="J117" s="126"/>
      <c r="K117" s="137"/>
      <c r="L117" s="138"/>
      <c r="M117" s="138"/>
      <c r="N117" s="137"/>
      <c r="O117" s="127"/>
    </row>
    <row r="118" spans="1:15" ht="15.75">
      <c r="A118" s="9"/>
      <c r="B118" s="129"/>
      <c r="C118" s="130"/>
      <c r="D118" s="130"/>
      <c r="E118" s="130"/>
      <c r="F118" s="130"/>
      <c r="G118" s="130"/>
      <c r="H118" s="129"/>
      <c r="I118" s="129"/>
      <c r="J118" s="126"/>
      <c r="K118" s="129"/>
      <c r="L118" s="130"/>
      <c r="M118" s="130"/>
      <c r="N118" s="129"/>
      <c r="O118" s="127"/>
    </row>
    <row r="119" spans="1:15" ht="15.75">
      <c r="A119" s="9"/>
      <c r="B119" s="129"/>
      <c r="C119" s="130"/>
      <c r="D119" s="130"/>
      <c r="E119" s="130"/>
      <c r="F119" s="130"/>
      <c r="G119" s="130"/>
      <c r="H119" s="129"/>
      <c r="I119" s="129"/>
      <c r="J119" s="126"/>
      <c r="K119" s="129"/>
      <c r="L119" s="130"/>
      <c r="M119" s="130"/>
      <c r="N119" s="129"/>
      <c r="O119" s="127"/>
    </row>
    <row r="120" spans="1:15" ht="15.75">
      <c r="A120" s="9"/>
      <c r="B120" s="129"/>
      <c r="C120" s="130"/>
      <c r="D120" s="130"/>
      <c r="E120" s="130"/>
      <c r="F120" s="130"/>
      <c r="G120" s="130"/>
      <c r="H120" s="129"/>
      <c r="I120" s="129"/>
      <c r="J120" s="126"/>
      <c r="K120" s="129"/>
      <c r="L120" s="130"/>
      <c r="M120" s="130"/>
      <c r="N120" s="129"/>
      <c r="O120" s="127"/>
    </row>
    <row r="121" spans="1:15" ht="15.75">
      <c r="A121" s="9"/>
      <c r="B121" s="129"/>
      <c r="C121" s="130"/>
      <c r="D121" s="130"/>
      <c r="E121" s="130"/>
      <c r="F121" s="130"/>
      <c r="G121" s="130"/>
      <c r="H121" s="129"/>
      <c r="I121" s="129"/>
      <c r="J121" s="126"/>
      <c r="K121" s="129"/>
      <c r="L121" s="130"/>
      <c r="M121" s="130"/>
      <c r="N121" s="129"/>
      <c r="O121" s="127"/>
    </row>
    <row r="122" spans="1:15" ht="20.25">
      <c r="A122" s="303" t="s">
        <v>137</v>
      </c>
      <c r="B122" s="303"/>
      <c r="C122" s="303"/>
      <c r="D122" s="303"/>
      <c r="E122" s="303"/>
      <c r="F122" s="303"/>
      <c r="G122" s="303"/>
      <c r="H122" s="303"/>
      <c r="I122" s="155"/>
      <c r="J122" s="155"/>
      <c r="K122" s="68"/>
      <c r="L122" s="68"/>
      <c r="M122" s="68"/>
      <c r="N122" s="68"/>
      <c r="O122" s="68"/>
    </row>
    <row r="123" spans="1:15" ht="20.25">
      <c r="A123" s="317" t="s">
        <v>129</v>
      </c>
      <c r="B123" s="317"/>
      <c r="C123" s="317"/>
      <c r="D123" s="317"/>
      <c r="E123" s="317"/>
      <c r="F123" s="317"/>
      <c r="G123" s="317"/>
      <c r="H123" s="317"/>
      <c r="I123" s="156"/>
      <c r="J123" s="156"/>
      <c r="K123" s="104"/>
      <c r="L123" s="104"/>
      <c r="M123" s="104"/>
      <c r="N123" s="104"/>
      <c r="O123" s="104"/>
    </row>
    <row r="124" spans="1:15" ht="18.75">
      <c r="A124" s="105"/>
      <c r="B124" s="315" t="s">
        <v>149</v>
      </c>
      <c r="C124" s="315"/>
      <c r="D124" s="315"/>
      <c r="E124" s="315"/>
      <c r="F124" s="315"/>
      <c r="G124" s="315"/>
      <c r="H124" s="315"/>
      <c r="I124" s="151"/>
      <c r="J124" s="151"/>
      <c r="K124" s="328"/>
      <c r="L124" s="320"/>
      <c r="M124" s="320"/>
      <c r="N124" s="320"/>
      <c r="O124" s="320"/>
    </row>
    <row r="125" spans="1:15" ht="42.75">
      <c r="A125" s="106" t="s">
        <v>2</v>
      </c>
      <c r="B125" s="140" t="s">
        <v>3</v>
      </c>
      <c r="C125" s="141" t="s">
        <v>4</v>
      </c>
      <c r="D125" s="142" t="s">
        <v>104</v>
      </c>
      <c r="E125" s="4" t="s">
        <v>6</v>
      </c>
      <c r="F125" s="111" t="s">
        <v>105</v>
      </c>
      <c r="G125" s="4" t="s">
        <v>9</v>
      </c>
      <c r="H125" s="188" t="s">
        <v>10</v>
      </c>
      <c r="I125" s="208"/>
      <c r="J125" s="209"/>
      <c r="K125" s="210"/>
      <c r="L125" s="133"/>
      <c r="M125" s="131"/>
    </row>
    <row r="126" spans="1:15" ht="15.75">
      <c r="A126" s="105"/>
      <c r="B126" s="7" t="s">
        <v>39</v>
      </c>
      <c r="C126" s="7" t="s">
        <v>39</v>
      </c>
      <c r="D126" s="7" t="s">
        <v>39</v>
      </c>
      <c r="E126" s="7" t="s">
        <v>39</v>
      </c>
      <c r="F126" s="7" t="s">
        <v>39</v>
      </c>
      <c r="G126" s="7" t="s">
        <v>39</v>
      </c>
      <c r="H126" s="204" t="s">
        <v>39</v>
      </c>
      <c r="I126" s="191"/>
      <c r="J126" s="3"/>
      <c r="K126" s="3"/>
      <c r="L126" s="3"/>
      <c r="M126" s="206"/>
    </row>
    <row r="127" spans="1:15" ht="15.75">
      <c r="A127" s="123" t="s">
        <v>119</v>
      </c>
      <c r="B127" s="143">
        <f>2588+16</f>
        <v>2604</v>
      </c>
      <c r="C127" s="135">
        <v>9</v>
      </c>
      <c r="D127" s="135">
        <v>2</v>
      </c>
      <c r="E127" s="135">
        <v>15</v>
      </c>
      <c r="F127" s="115">
        <v>153</v>
      </c>
      <c r="G127" s="192">
        <v>2</v>
      </c>
      <c r="H127" s="193">
        <f>SUM(B127:G127)</f>
        <v>2785</v>
      </c>
      <c r="I127" s="194"/>
      <c r="J127" s="119"/>
      <c r="K127" s="119"/>
      <c r="L127" s="120"/>
      <c r="M127" s="127"/>
    </row>
    <row r="128" spans="1:15" ht="15.75">
      <c r="A128" s="123" t="s">
        <v>121</v>
      </c>
      <c r="B128" s="143">
        <f>1524+16</f>
        <v>1540</v>
      </c>
      <c r="C128" s="135">
        <v>9</v>
      </c>
      <c r="D128" s="135">
        <v>2</v>
      </c>
      <c r="E128" s="135">
        <v>15</v>
      </c>
      <c r="F128" s="115">
        <v>0</v>
      </c>
      <c r="G128" s="192">
        <v>2</v>
      </c>
      <c r="H128" s="193">
        <f>SUM(B128:G128)</f>
        <v>1568</v>
      </c>
      <c r="I128" s="194"/>
      <c r="J128" s="119"/>
      <c r="K128" s="119"/>
      <c r="L128" s="120"/>
      <c r="M128" s="127"/>
    </row>
    <row r="129" spans="1:15" ht="15.75">
      <c r="A129" s="123" t="s">
        <v>122</v>
      </c>
      <c r="B129" s="143">
        <f>1524+16</f>
        <v>1540</v>
      </c>
      <c r="C129" s="135">
        <v>9</v>
      </c>
      <c r="D129" s="135">
        <v>2</v>
      </c>
      <c r="E129" s="135">
        <v>15</v>
      </c>
      <c r="F129" s="115">
        <v>0</v>
      </c>
      <c r="G129" s="192">
        <v>2</v>
      </c>
      <c r="H129" s="193">
        <f>SUM(B129:G129)</f>
        <v>1568</v>
      </c>
      <c r="I129" s="194"/>
      <c r="J129" s="119"/>
      <c r="K129" s="119"/>
      <c r="L129" s="120"/>
      <c r="M129" s="127"/>
    </row>
    <row r="135" spans="1:15" ht="20.25">
      <c r="A135" s="303" t="s">
        <v>137</v>
      </c>
      <c r="B135" s="303"/>
      <c r="C135" s="303"/>
      <c r="D135" s="303"/>
      <c r="E135" s="303"/>
      <c r="F135" s="303"/>
      <c r="G135" s="303"/>
      <c r="H135" s="303"/>
      <c r="I135" s="155"/>
      <c r="J135" s="155"/>
      <c r="K135" s="68"/>
      <c r="L135" s="68"/>
      <c r="M135" s="68"/>
      <c r="N135" s="68"/>
      <c r="O135" s="68"/>
    </row>
    <row r="136" spans="1:15" ht="20.25">
      <c r="A136" s="317" t="s">
        <v>131</v>
      </c>
      <c r="B136" s="317"/>
      <c r="C136" s="317"/>
      <c r="D136" s="317"/>
      <c r="E136" s="317"/>
      <c r="F136" s="317"/>
      <c r="G136" s="317"/>
      <c r="H136" s="317"/>
      <c r="I136" s="156"/>
      <c r="J136" s="156"/>
      <c r="K136" s="104"/>
      <c r="L136" s="104"/>
      <c r="M136" s="104"/>
      <c r="N136" s="104"/>
      <c r="O136" s="104"/>
    </row>
    <row r="137" spans="1:15" ht="18.75">
      <c r="A137" s="105"/>
      <c r="B137" s="315" t="s">
        <v>159</v>
      </c>
      <c r="C137" s="315"/>
      <c r="D137" s="315"/>
      <c r="E137" s="315"/>
      <c r="F137" s="315"/>
      <c r="G137" s="315"/>
      <c r="H137" s="315"/>
      <c r="I137" s="151"/>
      <c r="J137" s="151"/>
      <c r="K137" s="328"/>
      <c r="L137" s="320"/>
      <c r="M137" s="320"/>
      <c r="N137" s="320"/>
      <c r="O137" s="320"/>
    </row>
    <row r="138" spans="1:15" ht="42.75">
      <c r="A138" s="106" t="s">
        <v>2</v>
      </c>
      <c r="B138" s="140" t="s">
        <v>3</v>
      </c>
      <c r="C138" s="141" t="s">
        <v>4</v>
      </c>
      <c r="D138" s="142" t="s">
        <v>104</v>
      </c>
      <c r="E138" s="4" t="s">
        <v>6</v>
      </c>
      <c r="F138" s="111" t="s">
        <v>105</v>
      </c>
      <c r="G138" s="4" t="s">
        <v>9</v>
      </c>
      <c r="H138" s="188" t="s">
        <v>10</v>
      </c>
      <c r="I138" s="208"/>
      <c r="J138" s="209"/>
      <c r="K138" s="210"/>
      <c r="L138" s="133"/>
      <c r="M138" s="131"/>
    </row>
    <row r="139" spans="1:15" ht="15.75">
      <c r="A139" s="105"/>
      <c r="B139" s="7" t="s">
        <v>39</v>
      </c>
      <c r="C139" s="7" t="s">
        <v>39</v>
      </c>
      <c r="D139" s="7" t="s">
        <v>39</v>
      </c>
      <c r="E139" s="7" t="s">
        <v>39</v>
      </c>
      <c r="F139" s="7" t="s">
        <v>39</v>
      </c>
      <c r="G139" s="7" t="s">
        <v>39</v>
      </c>
      <c r="H139" s="204" t="s">
        <v>39</v>
      </c>
      <c r="I139" s="191"/>
      <c r="J139" s="3"/>
      <c r="K139" s="3"/>
      <c r="L139" s="3"/>
      <c r="M139" s="206"/>
    </row>
    <row r="140" spans="1:15" ht="15.75">
      <c r="A140" s="105" t="s">
        <v>124</v>
      </c>
      <c r="B140" s="113">
        <f>3915+16</f>
        <v>3931</v>
      </c>
      <c r="C140" s="135">
        <v>9</v>
      </c>
      <c r="D140" s="135">
        <v>2</v>
      </c>
      <c r="E140" s="135">
        <v>15</v>
      </c>
      <c r="F140" s="114">
        <v>160</v>
      </c>
      <c r="G140" s="211">
        <v>2</v>
      </c>
      <c r="H140" s="193">
        <f>SUM(B140:G140)</f>
        <v>4119</v>
      </c>
      <c r="I140" s="212"/>
      <c r="J140" s="119"/>
      <c r="K140" s="119"/>
      <c r="L140" s="119"/>
      <c r="M140" s="126"/>
    </row>
    <row r="141" spans="1:15">
      <c r="E141" s="138"/>
      <c r="F141" s="138"/>
      <c r="G141" s="138"/>
    </row>
    <row r="142" spans="1:15">
      <c r="A142" s="170"/>
    </row>
  </sheetData>
  <mergeCells count="45">
    <mergeCell ref="A136:H136"/>
    <mergeCell ref="B137:H137"/>
    <mergeCell ref="A57:I57"/>
    <mergeCell ref="B58:I58"/>
    <mergeCell ref="A72:H72"/>
    <mergeCell ref="A73:H73"/>
    <mergeCell ref="B74:H74"/>
    <mergeCell ref="A84:H84"/>
    <mergeCell ref="B98:H98"/>
    <mergeCell ref="A109:H109"/>
    <mergeCell ref="A110:H110"/>
    <mergeCell ref="B111:H111"/>
    <mergeCell ref="B62:H62"/>
    <mergeCell ref="B64:H64"/>
    <mergeCell ref="K137:O137"/>
    <mergeCell ref="A1:H1"/>
    <mergeCell ref="A2:H2"/>
    <mergeCell ref="B3:H3"/>
    <mergeCell ref="A13:H13"/>
    <mergeCell ref="A14:H14"/>
    <mergeCell ref="B15:H15"/>
    <mergeCell ref="B28:H28"/>
    <mergeCell ref="A27:H27"/>
    <mergeCell ref="K124:O124"/>
    <mergeCell ref="A122:H122"/>
    <mergeCell ref="A123:H123"/>
    <mergeCell ref="B124:H124"/>
    <mergeCell ref="A135:H135"/>
    <mergeCell ref="K98:O98"/>
    <mergeCell ref="K111:O111"/>
    <mergeCell ref="K86:O86"/>
    <mergeCell ref="A85:H85"/>
    <mergeCell ref="B86:H86"/>
    <mergeCell ref="A95:H96"/>
    <mergeCell ref="A97:H97"/>
    <mergeCell ref="K15:O15"/>
    <mergeCell ref="K28:O28"/>
    <mergeCell ref="A26:H26"/>
    <mergeCell ref="K3:O3"/>
    <mergeCell ref="K74:O74"/>
    <mergeCell ref="K45:O45"/>
    <mergeCell ref="A43:H43"/>
    <mergeCell ref="A44:H44"/>
    <mergeCell ref="B45:H45"/>
    <mergeCell ref="A56:I56"/>
  </mergeCells>
  <pageMargins left="0.7" right="0.7" top="0.75" bottom="0.75" header="0.3" footer="0.3"/>
  <ignoredErrors>
    <ignoredError sqref="B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LEVEL 100 FRESHERS</vt:lpstr>
      <vt:lpstr>ATHE</vt:lpstr>
      <vt:lpstr>LEVEL 200</vt:lpstr>
      <vt:lpstr>LEVEL 300</vt:lpstr>
      <vt:lpstr>LEVEL 400</vt:lpstr>
      <vt:lpstr>LEVEL 100 FRESHERS (SCIENCES)</vt:lpstr>
      <vt:lpstr>LEVEL 200 (SCIENCES)</vt:lpstr>
      <vt:lpstr>LEVEL 300 (SCIENCES)</vt:lpstr>
      <vt:lpstr>LEVEL 400 (SCIENCES)</vt:lpstr>
      <vt:lpstr>GRAD. SCH. LEVEL 500</vt:lpstr>
      <vt:lpstr>GRAD. SCH. LEVEL 600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Gof_8</dc:creator>
  <cp:lastModifiedBy>Gof_8</cp:lastModifiedBy>
  <dcterms:created xsi:type="dcterms:W3CDTF">2025-06-18T08:30:32Z</dcterms:created>
  <dcterms:modified xsi:type="dcterms:W3CDTF">2025-07-08T11:12:20Z</dcterms:modified>
</cp:coreProperties>
</file>