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Gof_8\Desktop\SCHOOL FEES REVIEWED\"/>
    </mc:Choice>
  </mc:AlternateContent>
  <xr:revisionPtr revIDLastSave="0" documentId="13_ncr:1_{CEED230B-1245-4019-93A6-2A3F42B28F69}" xr6:coauthVersionLast="47" xr6:coauthVersionMax="47" xr10:uidLastSave="{00000000-0000-0000-0000-000000000000}"/>
  <bookViews>
    <workbookView xWindow="-120" yWindow="-120" windowWidth="20730" windowHeight="11040" firstSheet="1" activeTab="5" xr2:uid="{00000000-000D-0000-FFFF-FFFF00000000}"/>
  </bookViews>
  <sheets>
    <sheet name="LEVEL 100 (FRESHERS)" sheetId="1" r:id="rId1"/>
    <sheet name="ATHE-FRESHERSS" sheetId="15" r:id="rId2"/>
    <sheet name="LEVEL 200" sheetId="10" r:id="rId3"/>
    <sheet name="LEVEL 300" sheetId="2" r:id="rId4"/>
    <sheet name="LEVEL 400" sheetId="3" r:id="rId5"/>
    <sheet name="L 100 SCIENCES (FRESHERS)" sheetId="4" r:id="rId6"/>
    <sheet name="LEVEL 200 (SCIENCES)" sheetId="9" r:id="rId7"/>
    <sheet name="L 300 (SCIENCES)" sheetId="5" r:id="rId8"/>
    <sheet name="L 400 (SCIENCES)" sheetId="6" r:id="rId9"/>
    <sheet name="GRAD. SCH. L 500 " sheetId="13" r:id="rId10"/>
    <sheet name="GRAD. SCH. L 600" sheetId="14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7" i="4" l="1"/>
  <c r="B164" i="6"/>
  <c r="B151" i="6"/>
  <c r="B150" i="6"/>
  <c r="B149" i="6"/>
  <c r="B135" i="6"/>
  <c r="G135" i="6" s="1"/>
  <c r="B134" i="6"/>
  <c r="G134" i="6" s="1"/>
  <c r="B133" i="6"/>
  <c r="F133" i="6"/>
  <c r="B120" i="6"/>
  <c r="B119" i="6"/>
  <c r="B118" i="6"/>
  <c r="B105" i="6"/>
  <c r="B104" i="6"/>
  <c r="B89" i="6"/>
  <c r="B88" i="6"/>
  <c r="B145" i="5"/>
  <c r="B132" i="5"/>
  <c r="B131" i="5"/>
  <c r="B130" i="5"/>
  <c r="B116" i="5"/>
  <c r="B115" i="5"/>
  <c r="B114" i="5"/>
  <c r="B100" i="5"/>
  <c r="B99" i="5"/>
  <c r="B87" i="5"/>
  <c r="B86" i="5"/>
  <c r="G133" i="6" l="1"/>
  <c r="B21" i="9" l="1"/>
  <c r="D71" i="15" l="1"/>
  <c r="G71" i="15" s="1"/>
  <c r="D70" i="15"/>
  <c r="G70" i="15" s="1"/>
  <c r="D69" i="15"/>
  <c r="G69" i="15" s="1"/>
  <c r="D66" i="15"/>
  <c r="G66" i="15" s="1"/>
  <c r="D65" i="15"/>
  <c r="G65" i="15" s="1"/>
  <c r="D64" i="15"/>
  <c r="G64" i="15" s="1"/>
  <c r="D59" i="15"/>
  <c r="G59" i="15" s="1"/>
  <c r="D58" i="15"/>
  <c r="G58" i="15" s="1"/>
  <c r="D57" i="15"/>
  <c r="G57" i="15" s="1"/>
  <c r="D52" i="15"/>
  <c r="G52" i="15" s="1"/>
  <c r="D51" i="15"/>
  <c r="G51" i="15" s="1"/>
  <c r="D50" i="15"/>
  <c r="G50" i="15" s="1"/>
  <c r="D46" i="15"/>
  <c r="G46" i="15" s="1"/>
  <c r="D45" i="15"/>
  <c r="G45" i="15" s="1"/>
  <c r="D44" i="15"/>
  <c r="G44" i="15" s="1"/>
  <c r="G32" i="15"/>
  <c r="G31" i="15"/>
  <c r="G30" i="15"/>
  <c r="G26" i="15"/>
  <c r="G25" i="15"/>
  <c r="G24" i="15"/>
  <c r="G20" i="15"/>
  <c r="G19" i="15"/>
  <c r="G18" i="15"/>
  <c r="G14" i="15"/>
  <c r="G13" i="15"/>
  <c r="G12" i="15"/>
  <c r="G8" i="15"/>
  <c r="G7" i="15"/>
  <c r="G6" i="15"/>
  <c r="G37" i="13"/>
  <c r="B37" i="13"/>
  <c r="F37" i="13" s="1"/>
  <c r="B70" i="6"/>
  <c r="B72" i="6"/>
  <c r="B70" i="14" l="1"/>
  <c r="B69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91" i="13"/>
  <c r="B90" i="13"/>
  <c r="B89" i="13"/>
  <c r="B32" i="14"/>
  <c r="B31" i="14"/>
  <c r="B30" i="14"/>
  <c r="B29" i="14"/>
  <c r="B28" i="14"/>
  <c r="B27" i="14"/>
  <c r="B25" i="14"/>
  <c r="B24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O70" i="13"/>
  <c r="K73" i="13"/>
  <c r="P73" i="13" s="1"/>
  <c r="K72" i="13"/>
  <c r="P72" i="13" s="1"/>
  <c r="K71" i="13"/>
  <c r="P71" i="13" s="1"/>
  <c r="K70" i="13"/>
  <c r="P70" i="13" s="1"/>
  <c r="K69" i="13"/>
  <c r="O69" i="13" s="1"/>
  <c r="K68" i="13"/>
  <c r="O68" i="13" s="1"/>
  <c r="K67" i="13"/>
  <c r="P67" i="13" s="1"/>
  <c r="G72" i="13"/>
  <c r="F71" i="13"/>
  <c r="F72" i="13"/>
  <c r="B73" i="13"/>
  <c r="F73" i="13" s="1"/>
  <c r="B72" i="13"/>
  <c r="B71" i="13"/>
  <c r="G71" i="13" s="1"/>
  <c r="B70" i="13"/>
  <c r="G70" i="13" s="1"/>
  <c r="B69" i="13"/>
  <c r="F69" i="13" s="1"/>
  <c r="B68" i="13"/>
  <c r="G68" i="13" s="1"/>
  <c r="B67" i="13"/>
  <c r="F67" i="13" s="1"/>
  <c r="B59" i="13"/>
  <c r="G59" i="13" s="1"/>
  <c r="B58" i="13"/>
  <c r="G58" i="13" s="1"/>
  <c r="B61" i="13"/>
  <c r="G61" i="13" s="1"/>
  <c r="B60" i="13"/>
  <c r="G60" i="13" s="1"/>
  <c r="B57" i="13"/>
  <c r="G57" i="13" s="1"/>
  <c r="B56" i="13"/>
  <c r="G56" i="13" s="1"/>
  <c r="B55" i="13"/>
  <c r="G55" i="13" s="1"/>
  <c r="B54" i="13"/>
  <c r="G54" i="13" s="1"/>
  <c r="B53" i="13"/>
  <c r="G53" i="13" s="1"/>
  <c r="B52" i="13"/>
  <c r="G52" i="13" s="1"/>
  <c r="B51" i="13"/>
  <c r="G51" i="13" s="1"/>
  <c r="B50" i="13"/>
  <c r="G50" i="13" s="1"/>
  <c r="B49" i="13"/>
  <c r="G49" i="13" s="1"/>
  <c r="B48" i="13"/>
  <c r="G48" i="13" s="1"/>
  <c r="G16" i="13"/>
  <c r="B10" i="13"/>
  <c r="G10" i="13" s="1"/>
  <c r="B11" i="13"/>
  <c r="G11" i="13" s="1"/>
  <c r="B12" i="13"/>
  <c r="G12" i="13" s="1"/>
  <c r="B13" i="13"/>
  <c r="G13" i="13" s="1"/>
  <c r="B19" i="13"/>
  <c r="G19" i="13" s="1"/>
  <c r="B20" i="13"/>
  <c r="G20" i="13" s="1"/>
  <c r="B21" i="13"/>
  <c r="G21" i="13" s="1"/>
  <c r="B22" i="13"/>
  <c r="G22" i="13" s="1"/>
  <c r="B27" i="13"/>
  <c r="F27" i="13" s="1"/>
  <c r="B30" i="13"/>
  <c r="G30" i="13" s="1"/>
  <c r="B31" i="13"/>
  <c r="F31" i="13" s="1"/>
  <c r="B34" i="13"/>
  <c r="F34" i="13" s="1"/>
  <c r="B35" i="13"/>
  <c r="G35" i="13" s="1"/>
  <c r="B36" i="13"/>
  <c r="G36" i="13" s="1"/>
  <c r="B33" i="13"/>
  <c r="F33" i="13" s="1"/>
  <c r="B32" i="13"/>
  <c r="G32" i="13" s="1"/>
  <c r="B29" i="13"/>
  <c r="G29" i="13" s="1"/>
  <c r="B28" i="13"/>
  <c r="G28" i="13" s="1"/>
  <c r="B25" i="13"/>
  <c r="F25" i="13" s="1"/>
  <c r="B24" i="13"/>
  <c r="F24" i="13" s="1"/>
  <c r="B18" i="13"/>
  <c r="G18" i="13" s="1"/>
  <c r="B17" i="13"/>
  <c r="G17" i="13" s="1"/>
  <c r="B16" i="13"/>
  <c r="B15" i="13"/>
  <c r="G15" i="13" s="1"/>
  <c r="B14" i="13"/>
  <c r="G14" i="13" s="1"/>
  <c r="B9" i="13"/>
  <c r="G9" i="13" s="1"/>
  <c r="B8" i="13"/>
  <c r="G8" i="13" s="1"/>
  <c r="B7" i="13"/>
  <c r="G7" i="13" s="1"/>
  <c r="B6" i="13"/>
  <c r="G6" i="13" s="1"/>
  <c r="O71" i="13" l="1"/>
  <c r="O67" i="13"/>
  <c r="O73" i="13"/>
  <c r="P69" i="13"/>
  <c r="P68" i="13"/>
  <c r="F28" i="13"/>
  <c r="O72" i="13"/>
  <c r="G69" i="13"/>
  <c r="F70" i="13"/>
  <c r="G67" i="13"/>
  <c r="G73" i="13"/>
  <c r="F68" i="13"/>
  <c r="F32" i="13"/>
  <c r="G31" i="13"/>
  <c r="F30" i="13"/>
  <c r="G33" i="13"/>
  <c r="G34" i="13"/>
  <c r="F29" i="13"/>
  <c r="G27" i="13"/>
  <c r="B56" i="6" l="1"/>
  <c r="B55" i="6"/>
  <c r="B54" i="6"/>
  <c r="B41" i="6"/>
  <c r="B40" i="6"/>
  <c r="B39" i="6"/>
  <c r="B38" i="6"/>
  <c r="B37" i="6"/>
  <c r="B36" i="6"/>
  <c r="B35" i="6"/>
  <c r="B22" i="6"/>
  <c r="B21" i="6"/>
  <c r="B20" i="6"/>
  <c r="B7" i="6"/>
  <c r="B6" i="6"/>
  <c r="B72" i="5"/>
  <c r="B58" i="5"/>
  <c r="B57" i="5"/>
  <c r="B56" i="5"/>
  <c r="B44" i="5"/>
  <c r="B43" i="5"/>
  <c r="B42" i="5"/>
  <c r="B41" i="5"/>
  <c r="B40" i="5"/>
  <c r="B39" i="5"/>
  <c r="B38" i="5"/>
  <c r="B21" i="5"/>
  <c r="B20" i="5"/>
  <c r="H20" i="5" s="1"/>
  <c r="B19" i="5"/>
  <c r="H19" i="5" s="1"/>
  <c r="B8" i="5"/>
  <c r="H8" i="5" s="1"/>
  <c r="B7" i="5"/>
  <c r="H7" i="5" s="1"/>
  <c r="B6" i="5"/>
  <c r="H6" i="5" s="1"/>
  <c r="B138" i="9"/>
  <c r="B125" i="9"/>
  <c r="B124" i="9"/>
  <c r="B123" i="9"/>
  <c r="B122" i="9"/>
  <c r="B108" i="9"/>
  <c r="B107" i="9"/>
  <c r="B106" i="9"/>
  <c r="B105" i="9"/>
  <c r="B104" i="9"/>
  <c r="B103" i="9"/>
  <c r="B102" i="9"/>
  <c r="B90" i="9"/>
  <c r="B78" i="9"/>
  <c r="B77" i="9"/>
  <c r="H72" i="6" l="1"/>
  <c r="B68" i="6"/>
  <c r="H70" i="6"/>
  <c r="B65" i="9"/>
  <c r="B53" i="9"/>
  <c r="B52" i="9"/>
  <c r="B51" i="9"/>
  <c r="B50" i="9"/>
  <c r="B39" i="9"/>
  <c r="B38" i="9"/>
  <c r="B37" i="9"/>
  <c r="B36" i="9"/>
  <c r="B35" i="9"/>
  <c r="B34" i="9"/>
  <c r="B33" i="9"/>
  <c r="B20" i="9"/>
  <c r="B7" i="9"/>
  <c r="B6" i="9"/>
  <c r="H6" i="9"/>
  <c r="B134" i="4"/>
  <c r="B133" i="4"/>
  <c r="B132" i="4"/>
  <c r="B131" i="4"/>
  <c r="B117" i="4"/>
  <c r="B116" i="4"/>
  <c r="B115" i="4"/>
  <c r="B114" i="4"/>
  <c r="B113" i="4"/>
  <c r="B112" i="4"/>
  <c r="B111" i="4"/>
  <c r="B98" i="4"/>
  <c r="B86" i="4"/>
  <c r="B85" i="4"/>
  <c r="B67" i="4" l="1"/>
  <c r="B53" i="4"/>
  <c r="B52" i="4"/>
  <c r="B51" i="4"/>
  <c r="B50" i="4"/>
  <c r="B38" i="4"/>
  <c r="B37" i="4"/>
  <c r="B36" i="4"/>
  <c r="B35" i="4"/>
  <c r="B34" i="4"/>
  <c r="B33" i="4"/>
  <c r="B32" i="4"/>
  <c r="B20" i="4"/>
  <c r="B7" i="4"/>
  <c r="B6" i="4"/>
  <c r="C90" i="3"/>
  <c r="C91" i="3"/>
  <c r="C89" i="3"/>
  <c r="C75" i="3"/>
  <c r="C76" i="3"/>
  <c r="C77" i="3"/>
  <c r="C78" i="3"/>
  <c r="C79" i="3"/>
  <c r="C74" i="3"/>
  <c r="C62" i="3"/>
  <c r="C58" i="3"/>
  <c r="C57" i="3"/>
  <c r="C56" i="3"/>
  <c r="C55" i="3"/>
  <c r="C54" i="3"/>
  <c r="C53" i="3"/>
  <c r="C52" i="3"/>
  <c r="C51" i="3"/>
  <c r="C50" i="3"/>
  <c r="C49" i="3"/>
  <c r="C48" i="3"/>
  <c r="C44" i="3"/>
  <c r="C43" i="3"/>
  <c r="C42" i="3"/>
  <c r="C41" i="3"/>
  <c r="C40" i="3"/>
  <c r="C39" i="3"/>
  <c r="C28" i="3"/>
  <c r="C24" i="3"/>
  <c r="C23" i="3"/>
  <c r="C22" i="3"/>
  <c r="C21" i="3"/>
  <c r="C20" i="3"/>
  <c r="C19" i="3"/>
  <c r="C18" i="3"/>
  <c r="C17" i="3"/>
  <c r="C16" i="3"/>
  <c r="C15" i="3"/>
  <c r="C14" i="3"/>
  <c r="C11" i="3"/>
  <c r="H11" i="3" s="1"/>
  <c r="C10" i="2"/>
  <c r="C10" i="3"/>
  <c r="C9" i="3"/>
  <c r="C8" i="3"/>
  <c r="C7" i="3"/>
  <c r="C6" i="3"/>
  <c r="C5" i="3"/>
  <c r="C92" i="2"/>
  <c r="C84" i="2"/>
  <c r="C74" i="2"/>
  <c r="C63" i="2"/>
  <c r="C59" i="2"/>
  <c r="C58" i="2"/>
  <c r="C57" i="2"/>
  <c r="C56" i="2"/>
  <c r="C55" i="2"/>
  <c r="C54" i="2"/>
  <c r="C53" i="2"/>
  <c r="C52" i="2"/>
  <c r="C51" i="2"/>
  <c r="C50" i="2"/>
  <c r="C49" i="2"/>
  <c r="C45" i="2"/>
  <c r="C44" i="2"/>
  <c r="C43" i="2"/>
  <c r="C42" i="2"/>
  <c r="C41" i="2"/>
  <c r="C40" i="2"/>
  <c r="C29" i="2"/>
  <c r="C25" i="2"/>
  <c r="C24" i="2"/>
  <c r="C23" i="2"/>
  <c r="C22" i="2"/>
  <c r="C21" i="2"/>
  <c r="C20" i="2"/>
  <c r="C19" i="2"/>
  <c r="C18" i="2"/>
  <c r="C17" i="2"/>
  <c r="C16" i="2"/>
  <c r="C15" i="2"/>
  <c r="C11" i="2"/>
  <c r="H11" i="2" s="1"/>
  <c r="C9" i="2"/>
  <c r="C8" i="2"/>
  <c r="C7" i="2"/>
  <c r="C6" i="2"/>
  <c r="C5" i="2"/>
  <c r="C11" i="10"/>
  <c r="C119" i="10"/>
  <c r="G119" i="10" s="1"/>
  <c r="C118" i="10"/>
  <c r="G118" i="10" s="1"/>
  <c r="C111" i="10"/>
  <c r="F111" i="10" s="1"/>
  <c r="C110" i="10"/>
  <c r="F110" i="10" s="1"/>
  <c r="C96" i="10"/>
  <c r="C88" i="10"/>
  <c r="C76" i="10"/>
  <c r="C63" i="10"/>
  <c r="C59" i="10"/>
  <c r="C58" i="10"/>
  <c r="C57" i="10"/>
  <c r="C56" i="10"/>
  <c r="C55" i="10"/>
  <c r="C54" i="10"/>
  <c r="C53" i="10"/>
  <c r="C52" i="10"/>
  <c r="C51" i="10"/>
  <c r="C50" i="10"/>
  <c r="C49" i="10"/>
  <c r="C41" i="10"/>
  <c r="C42" i="10"/>
  <c r="C43" i="10"/>
  <c r="C44" i="10"/>
  <c r="C45" i="10"/>
  <c r="C40" i="10"/>
  <c r="C28" i="10"/>
  <c r="C24" i="10"/>
  <c r="C23" i="10"/>
  <c r="C22" i="10"/>
  <c r="C21" i="10"/>
  <c r="C20" i="10"/>
  <c r="C19" i="10"/>
  <c r="C18" i="10"/>
  <c r="C17" i="10"/>
  <c r="C16" i="10"/>
  <c r="C15" i="10"/>
  <c r="C14" i="10"/>
  <c r="H14" i="10" s="1"/>
  <c r="C6" i="10"/>
  <c r="C7" i="10"/>
  <c r="C8" i="10"/>
  <c r="C9" i="10"/>
  <c r="C10" i="10"/>
  <c r="C5" i="10"/>
  <c r="H5" i="10" s="1"/>
  <c r="H122" i="1" l="1"/>
  <c r="I91" i="1"/>
  <c r="I70" i="1"/>
  <c r="I53" i="1"/>
  <c r="I56" i="1"/>
  <c r="I58" i="1"/>
  <c r="I64" i="1"/>
  <c r="I46" i="1"/>
  <c r="I32" i="1"/>
  <c r="I16" i="1"/>
  <c r="I18" i="1"/>
  <c r="I21" i="1"/>
  <c r="I24" i="1"/>
  <c r="I26" i="1"/>
  <c r="I7" i="1"/>
  <c r="I8" i="1"/>
  <c r="I9" i="1"/>
  <c r="C122" i="1"/>
  <c r="C121" i="1"/>
  <c r="H121" i="1" s="1"/>
  <c r="C114" i="1"/>
  <c r="C113" i="1"/>
  <c r="C99" i="1"/>
  <c r="C91" i="1"/>
  <c r="C81" i="1"/>
  <c r="I81" i="1" s="1"/>
  <c r="C80" i="1"/>
  <c r="I80" i="1" s="1"/>
  <c r="C70" i="1"/>
  <c r="C64" i="1"/>
  <c r="C63" i="1"/>
  <c r="I63" i="1" s="1"/>
  <c r="C62" i="1"/>
  <c r="I62" i="1" s="1"/>
  <c r="C61" i="1"/>
  <c r="I61" i="1" s="1"/>
  <c r="C60" i="1"/>
  <c r="I60" i="1" s="1"/>
  <c r="C59" i="1"/>
  <c r="I59" i="1" s="1"/>
  <c r="C58" i="1"/>
  <c r="C57" i="1"/>
  <c r="I57" i="1" s="1"/>
  <c r="C56" i="1"/>
  <c r="C55" i="1"/>
  <c r="I55" i="1" s="1"/>
  <c r="C54" i="1"/>
  <c r="I54" i="1" s="1"/>
  <c r="C53" i="1"/>
  <c r="C44" i="1"/>
  <c r="I44" i="1" s="1"/>
  <c r="C45" i="1"/>
  <c r="I45" i="1" s="1"/>
  <c r="C46" i="1"/>
  <c r="C47" i="1"/>
  <c r="I47" i="1" s="1"/>
  <c r="C48" i="1"/>
  <c r="I48" i="1" s="1"/>
  <c r="C49" i="1"/>
  <c r="I49" i="1" s="1"/>
  <c r="C43" i="1"/>
  <c r="I43" i="1" s="1"/>
  <c r="C32" i="1"/>
  <c r="C28" i="1"/>
  <c r="I28" i="1" s="1"/>
  <c r="C27" i="1"/>
  <c r="I27" i="1" s="1"/>
  <c r="C26" i="1"/>
  <c r="C25" i="1"/>
  <c r="I25" i="1" s="1"/>
  <c r="C24" i="1"/>
  <c r="C23" i="1"/>
  <c r="I23" i="1" s="1"/>
  <c r="C22" i="1"/>
  <c r="I22" i="1" s="1"/>
  <c r="C21" i="1"/>
  <c r="C20" i="1"/>
  <c r="I20" i="1" s="1"/>
  <c r="C19" i="1"/>
  <c r="C18" i="1"/>
  <c r="C17" i="1"/>
  <c r="I17" i="1" s="1"/>
  <c r="C16" i="1"/>
  <c r="C12" i="1"/>
  <c r="I12" i="1" s="1"/>
  <c r="C6" i="1"/>
  <c r="I6" i="1" s="1"/>
  <c r="C7" i="1"/>
  <c r="C8" i="1"/>
  <c r="C9" i="1"/>
  <c r="C10" i="1"/>
  <c r="I10" i="1" s="1"/>
  <c r="C11" i="1"/>
  <c r="I11" i="1" s="1"/>
  <c r="C5" i="1" l="1"/>
  <c r="I5" i="1" s="1"/>
  <c r="H99" i="1"/>
  <c r="C70" i="14" l="1"/>
  <c r="C69" i="14"/>
  <c r="E56" i="14"/>
  <c r="F56" i="14" s="1"/>
  <c r="E55" i="14"/>
  <c r="F55" i="14" s="1"/>
  <c r="E54" i="14"/>
  <c r="F54" i="14" s="1"/>
  <c r="E53" i="14"/>
  <c r="E52" i="14"/>
  <c r="F52" i="14" s="1"/>
  <c r="E51" i="14"/>
  <c r="F51" i="14" s="1"/>
  <c r="E50" i="14"/>
  <c r="F50" i="14" s="1"/>
  <c r="E49" i="14"/>
  <c r="E48" i="14"/>
  <c r="F48" i="14" s="1"/>
  <c r="E47" i="14"/>
  <c r="E46" i="14"/>
  <c r="F46" i="14" s="1"/>
  <c r="E45" i="14"/>
  <c r="F45" i="14" s="1"/>
  <c r="E44" i="14"/>
  <c r="F44" i="14" s="1"/>
  <c r="B26" i="14"/>
  <c r="E25" i="14"/>
  <c r="E22" i="14"/>
  <c r="F22" i="14" s="1"/>
  <c r="E18" i="14"/>
  <c r="E17" i="14"/>
  <c r="F17" i="14" s="1"/>
  <c r="E16" i="14"/>
  <c r="F16" i="14" s="1"/>
  <c r="E15" i="14"/>
  <c r="F15" i="14" s="1"/>
  <c r="E14" i="14"/>
  <c r="F14" i="14" s="1"/>
  <c r="E13" i="14"/>
  <c r="F13" i="14" s="1"/>
  <c r="E12" i="14"/>
  <c r="F12" i="14" s="1"/>
  <c r="E11" i="14"/>
  <c r="F11" i="14" s="1"/>
  <c r="E10" i="14"/>
  <c r="F10" i="14" s="1"/>
  <c r="E9" i="14"/>
  <c r="F9" i="14" s="1"/>
  <c r="E8" i="14"/>
  <c r="F8" i="14" s="1"/>
  <c r="E7" i="14"/>
  <c r="F7" i="14" s="1"/>
  <c r="C91" i="13"/>
  <c r="C90" i="13"/>
  <c r="C89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36" i="13"/>
  <c r="F35" i="13"/>
  <c r="B26" i="13"/>
  <c r="F26" i="13" s="1"/>
  <c r="F7" i="13"/>
  <c r="E69" i="14" l="1"/>
  <c r="F69" i="14"/>
  <c r="E70" i="14"/>
  <c r="F70" i="14"/>
  <c r="G90" i="13"/>
  <c r="F90" i="13"/>
  <c r="G91" i="13"/>
  <c r="F91" i="13"/>
  <c r="G89" i="13"/>
  <c r="F89" i="13"/>
  <c r="E6" i="14"/>
  <c r="F6" i="14" s="1"/>
  <c r="F6" i="13"/>
  <c r="F8" i="13"/>
  <c r="F16" i="13"/>
  <c r="F10" i="13"/>
  <c r="F14" i="13"/>
  <c r="F18" i="13"/>
  <c r="F22" i="13"/>
  <c r="F13" i="13"/>
  <c r="F21" i="13"/>
  <c r="F9" i="13"/>
  <c r="F17" i="13"/>
  <c r="F18" i="14"/>
  <c r="E20" i="14"/>
  <c r="F20" i="14" s="1"/>
  <c r="E28" i="14"/>
  <c r="F28" i="14" s="1"/>
  <c r="E30" i="14"/>
  <c r="F30" i="14" s="1"/>
  <c r="E32" i="14"/>
  <c r="F32" i="14" s="1"/>
  <c r="E26" i="14"/>
  <c r="E19" i="14"/>
  <c r="F19" i="14" s="1"/>
  <c r="E21" i="14"/>
  <c r="F21" i="14" s="1"/>
  <c r="E24" i="14"/>
  <c r="E27" i="14"/>
  <c r="F27" i="14" s="1"/>
  <c r="E29" i="14"/>
  <c r="F29" i="14" s="1"/>
  <c r="E31" i="14"/>
  <c r="F31" i="14" s="1"/>
  <c r="F12" i="13"/>
  <c r="F20" i="13"/>
  <c r="F15" i="13"/>
  <c r="F11" i="13"/>
  <c r="F19" i="13"/>
  <c r="H6" i="4"/>
  <c r="H63" i="10"/>
  <c r="H40" i="10"/>
  <c r="H114" i="1" l="1"/>
  <c r="H113" i="1"/>
  <c r="G145" i="5" l="1"/>
  <c r="G130" i="5"/>
  <c r="G116" i="5"/>
  <c r="G115" i="5"/>
  <c r="G114" i="5"/>
  <c r="G72" i="5"/>
  <c r="G58" i="5"/>
  <c r="G57" i="5"/>
  <c r="G56" i="5"/>
  <c r="G138" i="9"/>
  <c r="G123" i="9"/>
  <c r="G122" i="9"/>
  <c r="G103" i="9"/>
  <c r="G104" i="9"/>
  <c r="G105" i="9"/>
  <c r="G106" i="9"/>
  <c r="G107" i="9"/>
  <c r="G108" i="9"/>
  <c r="G102" i="9"/>
  <c r="G90" i="9"/>
  <c r="G78" i="9"/>
  <c r="G77" i="9"/>
  <c r="G65" i="9"/>
  <c r="G53" i="9"/>
  <c r="G52" i="9"/>
  <c r="G51" i="9"/>
  <c r="G50" i="9"/>
  <c r="G96" i="10"/>
  <c r="H76" i="10"/>
  <c r="H19" i="1" l="1"/>
  <c r="I19" i="1" s="1"/>
  <c r="G105" i="6" l="1"/>
  <c r="G104" i="6"/>
  <c r="F22" i="6"/>
  <c r="G22" i="6" s="1"/>
  <c r="F21" i="6"/>
  <c r="F20" i="6"/>
  <c r="H100" i="5"/>
  <c r="H99" i="5"/>
  <c r="G21" i="5"/>
  <c r="H21" i="5" s="1"/>
  <c r="H21" i="9"/>
  <c r="H20" i="9"/>
  <c r="H98" i="4"/>
  <c r="H20" i="4"/>
  <c r="F36" i="6"/>
  <c r="F37" i="6"/>
  <c r="F38" i="6"/>
  <c r="F39" i="6"/>
  <c r="F40" i="6"/>
  <c r="F41" i="6"/>
  <c r="F35" i="6"/>
  <c r="F7" i="6"/>
  <c r="E39" i="5"/>
  <c r="G39" i="5" s="1"/>
  <c r="E40" i="5"/>
  <c r="G40" i="5" s="1"/>
  <c r="E41" i="5"/>
  <c r="G41" i="5" s="1"/>
  <c r="E42" i="5"/>
  <c r="G42" i="5" s="1"/>
  <c r="E43" i="5"/>
  <c r="G43" i="5" s="1"/>
  <c r="E44" i="5"/>
  <c r="G44" i="5" s="1"/>
  <c r="E38" i="5"/>
  <c r="G38" i="5" s="1"/>
  <c r="E34" i="9"/>
  <c r="G34" i="9" s="1"/>
  <c r="E35" i="9"/>
  <c r="G35" i="9" s="1"/>
  <c r="E36" i="9"/>
  <c r="G36" i="9" s="1"/>
  <c r="E37" i="9"/>
  <c r="G37" i="9" s="1"/>
  <c r="E38" i="9"/>
  <c r="G38" i="9" s="1"/>
  <c r="E39" i="9"/>
  <c r="G39" i="9" s="1"/>
  <c r="E33" i="9"/>
  <c r="G33" i="9" s="1"/>
  <c r="G33" i="4"/>
  <c r="G34" i="4"/>
  <c r="G35" i="4"/>
  <c r="G36" i="4"/>
  <c r="G37" i="4"/>
  <c r="G38" i="4"/>
  <c r="G32" i="4"/>
  <c r="G21" i="6" l="1"/>
  <c r="G20" i="6"/>
  <c r="H87" i="5"/>
  <c r="H86" i="5"/>
  <c r="H7" i="9"/>
  <c r="H58" i="3" l="1"/>
  <c r="H57" i="3"/>
  <c r="H56" i="3"/>
  <c r="H55" i="3"/>
  <c r="H54" i="3"/>
  <c r="H53" i="3"/>
  <c r="H52" i="3"/>
  <c r="H51" i="3"/>
  <c r="H50" i="3"/>
  <c r="H49" i="3"/>
  <c r="H48" i="3"/>
  <c r="H44" i="3"/>
  <c r="H43" i="3"/>
  <c r="H42" i="3"/>
  <c r="H41" i="3"/>
  <c r="H40" i="3"/>
  <c r="H39" i="3"/>
  <c r="G41" i="6" l="1"/>
  <c r="G40" i="6"/>
  <c r="G39" i="6"/>
  <c r="H11" i="10"/>
  <c r="G38" i="6"/>
  <c r="H45" i="2" l="1"/>
  <c r="H10" i="2"/>
  <c r="H45" i="10" l="1"/>
  <c r="G164" i="6" l="1"/>
  <c r="G120" i="6"/>
  <c r="H68" i="6"/>
  <c r="G37" i="6"/>
  <c r="G6" i="6"/>
  <c r="H147" i="4"/>
  <c r="H132" i="4"/>
  <c r="H114" i="4"/>
  <c r="H115" i="4"/>
  <c r="H116" i="4"/>
  <c r="H117" i="4"/>
  <c r="H85" i="4"/>
  <c r="H86" i="4"/>
  <c r="H67" i="4"/>
  <c r="H51" i="4"/>
  <c r="H52" i="4"/>
  <c r="H53" i="4"/>
  <c r="H34" i="4"/>
  <c r="H35" i="4"/>
  <c r="H36" i="4"/>
  <c r="H37" i="4"/>
  <c r="H38" i="4"/>
  <c r="H7" i="4"/>
  <c r="H90" i="3"/>
  <c r="H91" i="3"/>
  <c r="H89" i="3"/>
  <c r="H92" i="2"/>
  <c r="H84" i="2"/>
  <c r="H74" i="2"/>
  <c r="H41" i="2"/>
  <c r="H42" i="2"/>
  <c r="H43" i="2"/>
  <c r="H44" i="2"/>
  <c r="H49" i="2"/>
  <c r="H50" i="2"/>
  <c r="H51" i="2"/>
  <c r="H52" i="2"/>
  <c r="H53" i="2"/>
  <c r="H54" i="2"/>
  <c r="H55" i="2"/>
  <c r="H56" i="2"/>
  <c r="H57" i="2"/>
  <c r="H58" i="2"/>
  <c r="H59" i="2"/>
  <c r="H40" i="2"/>
  <c r="H15" i="2"/>
  <c r="H16" i="2"/>
  <c r="H17" i="2"/>
  <c r="H18" i="2"/>
  <c r="H19" i="2"/>
  <c r="H20" i="2"/>
  <c r="H21" i="2"/>
  <c r="H22" i="2"/>
  <c r="H23" i="2"/>
  <c r="H24" i="2"/>
  <c r="H25" i="2"/>
  <c r="H6" i="2"/>
  <c r="H7" i="2"/>
  <c r="H8" i="2"/>
  <c r="H9" i="2"/>
  <c r="H5" i="2"/>
  <c r="H88" i="10"/>
  <c r="H49" i="10"/>
  <c r="H50" i="10"/>
  <c r="H51" i="10"/>
  <c r="H52" i="10"/>
  <c r="H53" i="10"/>
  <c r="H54" i="10"/>
  <c r="H55" i="10"/>
  <c r="H56" i="10"/>
  <c r="H57" i="10"/>
  <c r="H58" i="10"/>
  <c r="H59" i="10"/>
  <c r="H41" i="10"/>
  <c r="H42" i="10"/>
  <c r="H43" i="10"/>
  <c r="H44" i="10"/>
  <c r="H28" i="10"/>
  <c r="H15" i="10"/>
  <c r="H16" i="10"/>
  <c r="H17" i="10"/>
  <c r="H18" i="10"/>
  <c r="H19" i="10"/>
  <c r="H20" i="10"/>
  <c r="H21" i="10"/>
  <c r="H22" i="10"/>
  <c r="H23" i="10"/>
  <c r="H24" i="10"/>
  <c r="H6" i="10"/>
  <c r="H7" i="10"/>
  <c r="H8" i="10"/>
  <c r="H9" i="10"/>
  <c r="H10" i="10"/>
  <c r="E125" i="9" l="1"/>
  <c r="G125" i="9" s="1"/>
  <c r="E124" i="9"/>
  <c r="G124" i="9" s="1"/>
  <c r="G151" i="6" l="1"/>
  <c r="G150" i="6"/>
  <c r="G89" i="6"/>
  <c r="G88" i="6"/>
  <c r="G56" i="6"/>
  <c r="G55" i="6"/>
  <c r="G7" i="6"/>
  <c r="E132" i="5"/>
  <c r="G132" i="5" s="1"/>
  <c r="E131" i="5"/>
  <c r="G131" i="5" s="1"/>
  <c r="G134" i="4"/>
  <c r="H134" i="4" s="1"/>
  <c r="G133" i="4"/>
  <c r="H133" i="4" s="1"/>
  <c r="H131" i="4"/>
  <c r="H113" i="4"/>
  <c r="H112" i="4"/>
  <c r="H111" i="4"/>
  <c r="H50" i="4"/>
  <c r="H33" i="4"/>
  <c r="H32" i="4"/>
  <c r="H79" i="3"/>
  <c r="H78" i="3"/>
  <c r="H77" i="3"/>
  <c r="H76" i="3"/>
  <c r="H75" i="3"/>
  <c r="H74" i="3"/>
  <c r="H62" i="3"/>
  <c r="H28" i="3"/>
  <c r="H24" i="3"/>
  <c r="H23" i="3"/>
  <c r="H22" i="3"/>
  <c r="H21" i="3"/>
  <c r="H20" i="3"/>
  <c r="H19" i="3"/>
  <c r="H18" i="3"/>
  <c r="H17" i="3"/>
  <c r="H16" i="3"/>
  <c r="H15" i="3"/>
  <c r="H14" i="3"/>
  <c r="H10" i="3"/>
  <c r="H9" i="3"/>
  <c r="H8" i="3"/>
  <c r="H7" i="3"/>
  <c r="H6" i="3"/>
  <c r="H5" i="3"/>
  <c r="H63" i="2"/>
  <c r="H29" i="2"/>
  <c r="G35" i="6" l="1"/>
  <c r="G118" i="6"/>
  <c r="G54" i="6"/>
  <c r="G149" i="6"/>
  <c r="G36" i="6"/>
  <c r="G119" i="6"/>
</calcChain>
</file>

<file path=xl/sharedStrings.xml><?xml version="1.0" encoding="utf-8"?>
<sst xmlns="http://schemas.openxmlformats.org/spreadsheetml/2006/main" count="1748" uniqueCount="304">
  <si>
    <t>GHANAIAN STUDENTS – UNDERGRADUATE</t>
  </si>
  <si>
    <t>PROGRAMME</t>
  </si>
  <si>
    <t>SCHOOL FEES</t>
  </si>
  <si>
    <t>SRC</t>
  </si>
  <si>
    <t xml:space="preserve">HALL DUES </t>
  </si>
  <si>
    <t>FIELD TRIP</t>
  </si>
  <si>
    <t>TOTAL</t>
  </si>
  <si>
    <t>CBS</t>
  </si>
  <si>
    <t>GHC</t>
  </si>
  <si>
    <t>HRM (Freshers)</t>
  </si>
  <si>
    <t>Banking &amp; Finance (Freshers)</t>
  </si>
  <si>
    <t>Accounting (Freshers)</t>
  </si>
  <si>
    <t>Marketing (Freshers)</t>
  </si>
  <si>
    <t>Management Studeies (Freshers)</t>
  </si>
  <si>
    <t>Freshers Agribusiness (L 100)</t>
  </si>
  <si>
    <t>Freshers Agribusiness (L 200 &amp; 300)</t>
  </si>
  <si>
    <t>FASS</t>
  </si>
  <si>
    <t>Economics ( Freshers )</t>
  </si>
  <si>
    <t xml:space="preserve"> </t>
  </si>
  <si>
    <t>English ( Freshers )</t>
  </si>
  <si>
    <t>French ( Freshers )</t>
  </si>
  <si>
    <t>Environ.&amp; Dev.Studies(Freshers)</t>
  </si>
  <si>
    <t>Communication Studies (Freshers)</t>
  </si>
  <si>
    <t>Pscychology ( Freshers )</t>
  </si>
  <si>
    <t>Sociology ( Freshers )</t>
  </si>
  <si>
    <t>Social Work ( Freshers )</t>
  </si>
  <si>
    <t>Theology ( Freshers )</t>
  </si>
  <si>
    <t>Family Counseling ( Freshers )</t>
  </si>
  <si>
    <t>Church Administration ( Freshers)</t>
  </si>
  <si>
    <t>FACULTY OF LAW</t>
  </si>
  <si>
    <t>OTHER CHARGES</t>
  </si>
  <si>
    <t>INTERNATIONAL STUDENTS – UNDERGRADUATE</t>
  </si>
  <si>
    <t>USD</t>
  </si>
  <si>
    <t>Human Resource Mgt  (Freshers )</t>
  </si>
  <si>
    <t>Banking &amp; Finance ( Freshers )</t>
  </si>
  <si>
    <t>Accounting ( Freshers )</t>
  </si>
  <si>
    <t>Marketing ( Freshers )</t>
  </si>
  <si>
    <t>Management Studies ( Freshers )</t>
  </si>
  <si>
    <t>Agribusiness ( Freshers L100 )</t>
  </si>
  <si>
    <t>Agribusiness (Freshers L200 &amp; L300)</t>
  </si>
  <si>
    <t>Economics (Freshers)</t>
  </si>
  <si>
    <t>French ( Freshers)</t>
  </si>
  <si>
    <t>Environ. &amp; Dev. Stud. ( Freshers )</t>
  </si>
  <si>
    <t>Comm. Studies ( Freshers )</t>
  </si>
  <si>
    <t xml:space="preserve">KUMASI CAMPUS </t>
  </si>
  <si>
    <t>SCHOOL FEES/SEM</t>
  </si>
  <si>
    <t>GRASAG DUES</t>
  </si>
  <si>
    <t>DISTANCE EDUCATION (ONLINE) - GHANAIAN STUDENTS</t>
  </si>
  <si>
    <t>DISTANCE EDUCATION (ONLINE) - INTERNATIONAL STUDENTS</t>
  </si>
  <si>
    <t>AWARD IN TRAINING AND HIGHER EDUCATION</t>
  </si>
  <si>
    <t>L 200</t>
  </si>
  <si>
    <t>Agribusiness ( L 400 )</t>
  </si>
  <si>
    <t>Human Resource Management</t>
  </si>
  <si>
    <t>Banking &amp; Finance</t>
  </si>
  <si>
    <t>Marketing</t>
  </si>
  <si>
    <t xml:space="preserve">SCHOOL OF MEDICINE AND HEALTH SCIENCES - GHANAIAN STUDENTS </t>
  </si>
  <si>
    <t>FRESH STUDENTS</t>
  </si>
  <si>
    <t>HALL DUES</t>
  </si>
  <si>
    <t>PRACTICALS/CLERKSHIP/OTHERS</t>
  </si>
  <si>
    <t>Nursing (Generic)</t>
  </si>
  <si>
    <t>Public Health</t>
  </si>
  <si>
    <t>Physician Assistantship</t>
  </si>
  <si>
    <t xml:space="preserve">SCHOOL OF ARCHITECTURE AND DESIGN - GHANAIAN STUDENTS </t>
  </si>
  <si>
    <t>Architecture</t>
  </si>
  <si>
    <t>Planning</t>
  </si>
  <si>
    <t>Real Estate</t>
  </si>
  <si>
    <t>Landscape Design</t>
  </si>
  <si>
    <t>Interior Design</t>
  </si>
  <si>
    <t>Graphic Design</t>
  </si>
  <si>
    <t>Fashion Design</t>
  </si>
  <si>
    <t xml:space="preserve">SCHOOL OF ENGINEERING AND TECHNOLOGY - GHANAIAN STUDENTS </t>
  </si>
  <si>
    <t>Civil Engineering</t>
  </si>
  <si>
    <t>Environmental Engineering</t>
  </si>
  <si>
    <t>Information Technology</t>
  </si>
  <si>
    <t>Computer Science</t>
  </si>
  <si>
    <t xml:space="preserve">SCHOOL OF PHARMACY - GHANAIAN STUDENTS </t>
  </si>
  <si>
    <t>Doctor of Pharmacy</t>
  </si>
  <si>
    <t xml:space="preserve">SCHOOL OF MEDICINE AND HEALTH SCIENCES - INTERNATIONAL STUDENTS </t>
  </si>
  <si>
    <t xml:space="preserve">SCHOOL OF ARCHITECTURE AND DESIGN - INTERNATIONAL STUDENTS </t>
  </si>
  <si>
    <t xml:space="preserve">SCHOOL OF ENGINEERING AND TECHNOLOGY - INTERNATIONAL STUDENTS </t>
  </si>
  <si>
    <t xml:space="preserve">SCHOOL OF PHARMACY  - INTERNATIONAL STUDENTS </t>
  </si>
  <si>
    <t>Nursing Professional RGN (400)</t>
  </si>
  <si>
    <t xml:space="preserve">SCHOOL OF GRADUATE STUDIES </t>
  </si>
  <si>
    <t>LEVEL  500</t>
  </si>
  <si>
    <t>SCHOOL FEES PER SEMESTER</t>
  </si>
  <si>
    <t>GHANAIAN STUDENTS</t>
  </si>
  <si>
    <t>MBA (EVENING &amp; WEEKEND)</t>
  </si>
  <si>
    <t>MBA ( ALUMNUS)</t>
  </si>
  <si>
    <t>MPHIL ECONOMICS</t>
  </si>
  <si>
    <t>MPHIL ECONOMICS (ALUMNUS)</t>
  </si>
  <si>
    <t>MSC (MARKETING RESEARCH)</t>
  </si>
  <si>
    <t>MSC(MARKETING RESEARCH/ALUMNUS)</t>
  </si>
  <si>
    <t>MA ( RELIGIOUS STUDIES)</t>
  </si>
  <si>
    <t>MA ( RELIGIOUS STUDIES/ALUMNUS)</t>
  </si>
  <si>
    <t>MPHIL ( RELIGIOUS STUDIES)</t>
  </si>
  <si>
    <t>MPHIL ( RELIGIOUS STUDIES/ALUMNUS)</t>
  </si>
  <si>
    <t>EMLG</t>
  </si>
  <si>
    <t>EMLG (ALUMNUS)</t>
  </si>
  <si>
    <t>INTERNATIONAL STUDENTS</t>
  </si>
  <si>
    <t>MBA ( EVENING &amp; WEEKEND)</t>
  </si>
  <si>
    <t>MBA (ALUMNUS)</t>
  </si>
  <si>
    <t>MSC (MARKETING RESEARCH) ALUMNI</t>
  </si>
  <si>
    <t>MA ( RELIGIOUS STUDIES) ALUMNI</t>
  </si>
  <si>
    <t>HRM (Level 300)</t>
  </si>
  <si>
    <t>Banking &amp; Finance (Level 300)</t>
  </si>
  <si>
    <t>Accounting (L 300)</t>
  </si>
  <si>
    <t>Marketing ( L 300)</t>
  </si>
  <si>
    <t>Management Studeies (L 300)</t>
  </si>
  <si>
    <t>Agribusiness (L 300)</t>
  </si>
  <si>
    <t>Economics ( L 300 )</t>
  </si>
  <si>
    <t>English ( L 300 )</t>
  </si>
  <si>
    <t>French ( L 300 )</t>
  </si>
  <si>
    <t>Environ.&amp; Dev.Studies( L 300)</t>
  </si>
  <si>
    <t>Communication Studies ( L 300)</t>
  </si>
  <si>
    <t>Pscychology ( L 300 )</t>
  </si>
  <si>
    <t>Sociology ( L 300 )</t>
  </si>
  <si>
    <t>Social Work ( L 300 )</t>
  </si>
  <si>
    <t>Theology ( L 300 )</t>
  </si>
  <si>
    <t>Family Counseling ( L 300 )</t>
  </si>
  <si>
    <t>Church Administration ( L 300)</t>
  </si>
  <si>
    <t>Freshers (L 300)</t>
  </si>
  <si>
    <t>L 300</t>
  </si>
  <si>
    <t xml:space="preserve">HRM </t>
  </si>
  <si>
    <t xml:space="preserve">Banking &amp; Finance </t>
  </si>
  <si>
    <t xml:space="preserve">Accounting </t>
  </si>
  <si>
    <t>Management Studeies</t>
  </si>
  <si>
    <t>Economics</t>
  </si>
  <si>
    <t xml:space="preserve">English </t>
  </si>
  <si>
    <t xml:space="preserve">French </t>
  </si>
  <si>
    <t xml:space="preserve">Environ.&amp; Dev.Studies </t>
  </si>
  <si>
    <t xml:space="preserve">Communication Studies </t>
  </si>
  <si>
    <t xml:space="preserve">Pscychology </t>
  </si>
  <si>
    <t xml:space="preserve">Sociology </t>
  </si>
  <si>
    <t xml:space="preserve">Social Work </t>
  </si>
  <si>
    <t xml:space="preserve">Theology </t>
  </si>
  <si>
    <t xml:space="preserve">Family Counseling </t>
  </si>
  <si>
    <t xml:space="preserve">Church Administration </t>
  </si>
  <si>
    <t>HRM (L400)</t>
  </si>
  <si>
    <t>Banking &amp; Finance (L400)</t>
  </si>
  <si>
    <t>Accounting (L400)</t>
  </si>
  <si>
    <t>Marketing (L400)</t>
  </si>
  <si>
    <t>Economics (L 400)</t>
  </si>
  <si>
    <t>English (L 400)</t>
  </si>
  <si>
    <t>French (L 400)</t>
  </si>
  <si>
    <t>Environ.&amp; Dev.Studies(L400)</t>
  </si>
  <si>
    <t>Communication Studies (L400)</t>
  </si>
  <si>
    <t>Pscychology (L 400)</t>
  </si>
  <si>
    <t>Sociology (L 400 )</t>
  </si>
  <si>
    <t>Social Work (L 400)</t>
  </si>
  <si>
    <t>Theology (L 400 )</t>
  </si>
  <si>
    <t>Family Counseling (L 400 )</t>
  </si>
  <si>
    <t>Church Administration ( L400)</t>
  </si>
  <si>
    <t>Bachelor of Law (L 400)</t>
  </si>
  <si>
    <t>Accounting (L 400)</t>
  </si>
  <si>
    <t>Marketing (L 400)</t>
  </si>
  <si>
    <t>Management Studies (L 400)</t>
  </si>
  <si>
    <t>Theology ( L 400 )</t>
  </si>
  <si>
    <t>Family Counseling ( L 400 )</t>
  </si>
  <si>
    <t>Bachelor of Law ( L 400)</t>
  </si>
  <si>
    <t>HRM (L 400)</t>
  </si>
  <si>
    <t>Banking &amp; Finance (L 400)</t>
  </si>
  <si>
    <t>Agribusiness (L 400)</t>
  </si>
  <si>
    <t>LEVEL  600</t>
  </si>
  <si>
    <t xml:space="preserve"> L 400</t>
  </si>
  <si>
    <t>L 400</t>
  </si>
  <si>
    <t>Architecture L 400 &amp; L 500</t>
  </si>
  <si>
    <t xml:space="preserve"> L 400 &amp; 500</t>
  </si>
  <si>
    <t>MPHIL EDUCATION</t>
  </si>
  <si>
    <t>MA EDUCATION</t>
  </si>
  <si>
    <t>MA SACRED MINISTRY</t>
  </si>
  <si>
    <t>POST GRAD DIP IN EDUCATION (PGDE)</t>
  </si>
  <si>
    <t>MBA (18MONTHS MKT &amp; AGB)</t>
  </si>
  <si>
    <t>BACHELOR OF DIVINITY ( Freshers )</t>
  </si>
  <si>
    <t>BSC AGRIC ECONS ( Freshers )</t>
  </si>
  <si>
    <t>THEOLOGY</t>
  </si>
  <si>
    <t>MA RELIGIOUS STUDIES</t>
  </si>
  <si>
    <t>MPHIL RELIGIOUS STUDIES</t>
  </si>
  <si>
    <t>SEM 1</t>
  </si>
  <si>
    <t>SEM 2</t>
  </si>
  <si>
    <t>SEM 3</t>
  </si>
  <si>
    <t>M.A Educational Leadership and Admin (1yr)</t>
  </si>
  <si>
    <t>M.Phil Educational Leadership and Admin (2yrs)</t>
  </si>
  <si>
    <t>M.Phil. Development Policy</t>
  </si>
  <si>
    <t>MBA Project Management (1.5 yrs)</t>
  </si>
  <si>
    <t>MA Development Policy (1yr)</t>
  </si>
  <si>
    <t>Diploma in Law (2yrs)</t>
  </si>
  <si>
    <t>Diploma in Paralegal Studies (1.5yrs)</t>
  </si>
  <si>
    <t>DIPLOMA PROGRAMMES</t>
  </si>
  <si>
    <t>INTERNATIONAL STUDENTS (BILLS IN GHC)</t>
  </si>
  <si>
    <t xml:space="preserve">Agribusiness </t>
  </si>
  <si>
    <t>Continuing Students</t>
  </si>
  <si>
    <t>MPHIL ( RELIGIOUS STUDIES/THEOLOGY)</t>
  </si>
  <si>
    <t>MPHIL ( Guidance and Counselling)</t>
  </si>
  <si>
    <t>INTERNATIONAL STUDENTS (BILLS IN USD)</t>
  </si>
  <si>
    <t>1. All generic nursing students pay the other charges of USD 165  per semester</t>
  </si>
  <si>
    <t>1. Charges for field trips/others is USD 153 per semester</t>
  </si>
  <si>
    <t>1. Charges for field trips/ lab practicals/ clerkship/ others is USD 160 per semester</t>
  </si>
  <si>
    <t>2. Nursing Professional RGN (400) pay the other charges of USD 165 per semester</t>
  </si>
  <si>
    <t>3. Charges for field trips/ lab practicals/ clerkship/others is USD 165 per semester</t>
  </si>
  <si>
    <t>Master Of Public Health (MPH) Sem 1</t>
  </si>
  <si>
    <t>Sem2</t>
  </si>
  <si>
    <t>MEDICAL EXAMS</t>
  </si>
  <si>
    <t>SRC/ HALL DUES</t>
  </si>
  <si>
    <t>B.Ed Social Studies (Freshers)</t>
  </si>
  <si>
    <t>B.Ed Social Studies (Freshers) (GHC)</t>
  </si>
  <si>
    <t>KUMASI CAMPUS</t>
  </si>
  <si>
    <t>NOTE:</t>
  </si>
  <si>
    <t>SCHOOL FEES FOR 1ST YEAR/SEMESTER</t>
  </si>
  <si>
    <t xml:space="preserve">MEDICAL EXAMS </t>
  </si>
  <si>
    <t xml:space="preserve">NOTE: </t>
  </si>
  <si>
    <t>LAW</t>
  </si>
  <si>
    <t>Sem3</t>
  </si>
  <si>
    <t>Diploma In Business Management (LEVEL 3)</t>
  </si>
  <si>
    <t xml:space="preserve">Diploma In Information And Digital Technologies (LEVEL 3) </t>
  </si>
  <si>
    <t>Diploma In Health And Social Care (LEVEL 3)</t>
  </si>
  <si>
    <t>Diploma In Business Management (LEVEL 4)</t>
  </si>
  <si>
    <t xml:space="preserve">Diploma In Information And Digital Technologies (LEVEL 4) </t>
  </si>
  <si>
    <t>Diploma In Health And Social Care (LEVEL 4)</t>
  </si>
  <si>
    <t>Diploma In Business Management (LEVEL 5)</t>
  </si>
  <si>
    <t xml:space="preserve">Diploma In Information And Digital Technologies (LEVEL 5) </t>
  </si>
  <si>
    <t>Diploma In Health And Social Care (LEVEL 5)</t>
  </si>
  <si>
    <t>Diploma In Business Management (LEVEL 6)</t>
  </si>
  <si>
    <t xml:space="preserve">Diploma In Information And Digital Technologies (LEVEL 6) </t>
  </si>
  <si>
    <t>Diploma In Health And Social Care (LEVEL 6)</t>
  </si>
  <si>
    <t>Diploma In Business Management (LEVEL 7)</t>
  </si>
  <si>
    <t xml:space="preserve">Diploma In Information And Digital Technologies (LEVEL 7) </t>
  </si>
  <si>
    <t>Diploma In Health And Social Care (LEVEL 7)</t>
  </si>
  <si>
    <t xml:space="preserve"> L 400 &amp; L 500 &amp; L600</t>
  </si>
  <si>
    <t>Public Health (Freshers)</t>
  </si>
  <si>
    <t>Nursing Professional RGN (Freshers)</t>
  </si>
  <si>
    <t>LEVEL 300</t>
  </si>
  <si>
    <t xml:space="preserve"> L 400 &amp; L 500 &amp; L 600</t>
  </si>
  <si>
    <t>MBA</t>
  </si>
  <si>
    <t xml:space="preserve">MBA </t>
  </si>
  <si>
    <t>HRM (Level 400)</t>
  </si>
  <si>
    <t>Banking &amp; Finance (Level 400)</t>
  </si>
  <si>
    <t>Marketing ( L 400)</t>
  </si>
  <si>
    <t>Management Studeies (L 400)</t>
  </si>
  <si>
    <t>Economics ( L 400 )</t>
  </si>
  <si>
    <t>English ( L 400 )</t>
  </si>
  <si>
    <t>French ( L 400 )</t>
  </si>
  <si>
    <t>Environ.&amp; Dev.Studies( L 400)</t>
  </si>
  <si>
    <t>Communication Studies ( L 400)</t>
  </si>
  <si>
    <t>Pscychology ( L 400 )</t>
  </si>
  <si>
    <t>Sociology ( L 400 )</t>
  </si>
  <si>
    <t>Social Work ( L 400 )</t>
  </si>
  <si>
    <t>Church Administration ( L 400)</t>
  </si>
  <si>
    <t>MPHIL COMM. STUDS.</t>
  </si>
  <si>
    <t>MA COMM. STUDS.</t>
  </si>
  <si>
    <t>MEDICAL EXXAMS</t>
  </si>
  <si>
    <t xml:space="preserve">Nursing Professional RGN </t>
  </si>
  <si>
    <t>Nursing Professional RGN Through Access Course  (Freshers)</t>
  </si>
  <si>
    <t>Nursing Professional RGN Through Access Course</t>
  </si>
  <si>
    <t>Doctor of Pharmacy (TOP -UP)</t>
  </si>
  <si>
    <t>Nursing Professional RGN (300)(Freshers)</t>
  </si>
  <si>
    <t>SCHOOL FEES PER SEMESTER 2024/2025</t>
  </si>
  <si>
    <t xml:space="preserve"> SCHOOL FEES PER SEMESTER 2024/2025</t>
  </si>
  <si>
    <t xml:space="preserve"> SCHOOL FEES PER SEMESTER 2025/2025</t>
  </si>
  <si>
    <t>SCHOOL FEES PER SEMESTER 2024/25</t>
  </si>
  <si>
    <t xml:space="preserve"> SCHOOL FEES PER SEMESTER 2024/25</t>
  </si>
  <si>
    <t>SCHOOL FEES PER SEMESTER – UNDERGRADUATE - 2024/2025</t>
  </si>
  <si>
    <t>1. Charges for field trips/others is GHC 840 per semester</t>
  </si>
  <si>
    <t>1. Charges for field trips/others is GHC 600 per semester</t>
  </si>
  <si>
    <t xml:space="preserve">      SCHOOL FEES PER SEMESTER – UNDERGRADUATE - 2024/2025</t>
  </si>
  <si>
    <t xml:space="preserve"> SCHOOL FEES PER SEMESTER – UNDERGRADUATE - 2024/2025</t>
  </si>
  <si>
    <t xml:space="preserve"> SCHOOL FEES PER SEMESTER – UNDERGRADUATE - 2024/25</t>
  </si>
  <si>
    <t>1. All generic nursing students pay the other charges of GHC 3,150.00 per semester</t>
  </si>
  <si>
    <t>2. Nursing Professional RGN (400) pay the other charges of GHC 2,625.00 per semester.</t>
  </si>
  <si>
    <t xml:space="preserve"> SCHOOL FEES PER PROGRAMME - 2024/2025</t>
  </si>
  <si>
    <t xml:space="preserve">SCHOOL OF NURSING AND MIDWIFERY- GHANAIAN STUDENTS </t>
  </si>
  <si>
    <t>1. Charges for field trips/ lab practicals/ clerkship/others is USD 165 per semester</t>
  </si>
  <si>
    <t xml:space="preserve">SCHOOL OF NURSING AND MIDWIFERY- INTERNATIONAL STUDENTS </t>
  </si>
  <si>
    <t>2. Nursing Professional RGN ( 300) refers to freshers admitted to Level 300</t>
  </si>
  <si>
    <t>2. PA (400) Charges for field trips/ lab practicals/ clerkship/ others is GHC 3,150.00 per semester</t>
  </si>
  <si>
    <t>HOSPITAL CARE</t>
  </si>
  <si>
    <t>MEDICAL EXAMS FEE OF GHC 200.00 TO BE PAID ONLY IN THE FIRST SEMESTER</t>
  </si>
  <si>
    <t>PRACTICALS/CLERKSHIP/OTHERS/ CLINICALS</t>
  </si>
  <si>
    <t>2. PA Charges for field trips/ lab practicals/ clerkship/ others is GHC 2,000.00 per semester</t>
  </si>
  <si>
    <t>1. PUH Charges for field trips/ lab practicals/ clerkship/ others is GHC 2,000.00 per semester</t>
  </si>
  <si>
    <t>1. All generic nursing students pay the other charges of GHC- 2,000.00 per semester</t>
  </si>
  <si>
    <t>1. All generic nursing students pay the other charges of GHC 2,000.00 per semester</t>
  </si>
  <si>
    <t xml:space="preserve"> (L200)</t>
  </si>
  <si>
    <t xml:space="preserve"> LEVEL 200</t>
  </si>
  <si>
    <t xml:space="preserve"> ( L 300 )</t>
  </si>
  <si>
    <t>MSC ACCOUNTING</t>
  </si>
  <si>
    <t>MPHIL ACCOUNTING</t>
  </si>
  <si>
    <t>SRC DUES</t>
  </si>
  <si>
    <t>BSC AGRIC ECONS</t>
  </si>
  <si>
    <t>Doctor of Pharmacy (TOP -UP)(Freshers)</t>
  </si>
  <si>
    <t xml:space="preserve"> L 500 </t>
  </si>
  <si>
    <t xml:space="preserve"> L 600 </t>
  </si>
  <si>
    <t>Nursing Professional RGN Through Access Course(Freshers)</t>
  </si>
  <si>
    <t>2. Nursing Professional RGN (300) refers to freshers admitted to Level 300</t>
  </si>
  <si>
    <t>3. Nursing Professional RGN (Through Access Course) pay the other charges of GHC 1,313.00 per semester.</t>
  </si>
  <si>
    <t>Diploma Law (2yrs)</t>
  </si>
  <si>
    <t>PHD IN FINANCE</t>
  </si>
  <si>
    <t xml:space="preserve">INTERNATIONAL STUDENTS </t>
  </si>
  <si>
    <t>1. Charges for field trips/ lab practicals/others is GHC 1,500.00 per semester</t>
  </si>
  <si>
    <t>1. Charges for field trips/ lab practicals/others is GHC 1,500 per semester</t>
  </si>
  <si>
    <t>1. All generic nursing students pay the other charges of USD 200.00  per semester</t>
  </si>
  <si>
    <t>2. Nursing Professional RGN (400) pay the other charges of USD 165.00 per semester</t>
  </si>
  <si>
    <t xml:space="preserve">LEVEL 400 </t>
  </si>
  <si>
    <t xml:space="preserve">Architecture </t>
  </si>
  <si>
    <t>2. Charges for field trips/others for Architecture Level 500 is USD 183.60 per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</si>
</sst>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3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1"/>
      <color theme="1"/>
      <name val="Calibri  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u/>
      <sz val="16"/>
      <color rgb="FFFF000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0" fillId="0" borderId="0" xfId="1" applyFont="1"/>
    <xf numFmtId="4" fontId="0" fillId="0" borderId="0" xfId="0" applyNumberFormat="1"/>
    <xf numFmtId="43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165" fontId="8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43" fontId="0" fillId="0" borderId="0" xfId="1" applyFont="1" applyBorder="1" applyAlignment="1"/>
    <xf numFmtId="43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 wrapText="1"/>
    </xf>
    <xf numFmtId="43" fontId="0" fillId="0" borderId="0" xfId="1" applyFont="1" applyFill="1" applyBorder="1" applyAlignment="1"/>
    <xf numFmtId="0" fontId="2" fillId="0" borderId="0" xfId="0" applyFont="1"/>
    <xf numFmtId="0" fontId="17" fillId="0" borderId="0" xfId="0" applyFont="1" applyAlignment="1">
      <alignment horizontal="center"/>
    </xf>
    <xf numFmtId="43" fontId="14" fillId="0" borderId="0" xfId="1" applyFont="1"/>
    <xf numFmtId="4" fontId="14" fillId="0" borderId="0" xfId="0" applyNumberFormat="1" applyFont="1"/>
    <xf numFmtId="0" fontId="8" fillId="2" borderId="0" xfId="0" applyFont="1" applyFill="1" applyAlignment="1">
      <alignment vertical="center"/>
    </xf>
    <xf numFmtId="0" fontId="0" fillId="2" borderId="0" xfId="0" applyFill="1"/>
    <xf numFmtId="43" fontId="0" fillId="2" borderId="0" xfId="1" applyFont="1" applyFill="1"/>
    <xf numFmtId="43" fontId="8" fillId="2" borderId="0" xfId="1" applyFont="1" applyFill="1" applyAlignment="1">
      <alignment horizontal="center" vertical="center"/>
    </xf>
    <xf numFmtId="0" fontId="14" fillId="0" borderId="1" xfId="0" applyFont="1" applyBorder="1"/>
    <xf numFmtId="0" fontId="19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vertical="center"/>
    </xf>
    <xf numFmtId="43" fontId="1" fillId="0" borderId="1" xfId="1" applyFont="1" applyFill="1" applyBorder="1"/>
    <xf numFmtId="43" fontId="1" fillId="0" borderId="1" xfId="1" applyFont="1" applyBorder="1"/>
    <xf numFmtId="164" fontId="0" fillId="0" borderId="0" xfId="0" applyNumberFormat="1"/>
    <xf numFmtId="0" fontId="2" fillId="0" borderId="1" xfId="0" applyFont="1" applyBorder="1"/>
    <xf numFmtId="0" fontId="8" fillId="0" borderId="1" xfId="0" applyFont="1" applyBorder="1" applyAlignment="1">
      <alignment vertical="center"/>
    </xf>
    <xf numFmtId="43" fontId="1" fillId="0" borderId="0" xfId="1" applyFont="1" applyFill="1" applyBorder="1"/>
    <xf numFmtId="43" fontId="1" fillId="0" borderId="0" xfId="1" applyFont="1" applyBorder="1"/>
    <xf numFmtId="43" fontId="2" fillId="0" borderId="0" xfId="1" applyFont="1" applyBorder="1"/>
    <xf numFmtId="164" fontId="2" fillId="0" borderId="0" xfId="0" applyNumberFormat="1" applyFont="1"/>
    <xf numFmtId="43" fontId="14" fillId="0" borderId="0" xfId="1" applyFont="1" applyBorder="1"/>
    <xf numFmtId="43" fontId="14" fillId="0" borderId="0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43" fontId="0" fillId="0" borderId="1" xfId="1" applyFont="1" applyFill="1" applyBorder="1"/>
    <xf numFmtId="43" fontId="0" fillId="0" borderId="1" xfId="1" applyFont="1" applyBorder="1"/>
    <xf numFmtId="43" fontId="0" fillId="0" borderId="0" xfId="1" applyFont="1" applyFill="1" applyBorder="1"/>
    <xf numFmtId="43" fontId="0" fillId="0" borderId="0" xfId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1" fillId="0" borderId="6" xfId="1" applyFont="1" applyFill="1" applyBorder="1"/>
    <xf numFmtId="43" fontId="0" fillId="0" borderId="6" xfId="1" applyFont="1" applyFill="1" applyBorder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43" fontId="1" fillId="0" borderId="6" xfId="1" applyFont="1" applyBorder="1"/>
    <xf numFmtId="43" fontId="19" fillId="0" borderId="0" xfId="1" applyFont="1" applyAlignment="1">
      <alignment horizontal="center"/>
    </xf>
    <xf numFmtId="43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25" fillId="0" borderId="0" xfId="0" applyFont="1"/>
    <xf numFmtId="43" fontId="0" fillId="0" borderId="0" xfId="1" applyFont="1" applyAlignment="1">
      <alignment vertical="center"/>
    </xf>
    <xf numFmtId="43" fontId="25" fillId="0" borderId="0" xfId="1" applyFont="1"/>
    <xf numFmtId="43" fontId="0" fillId="2" borderId="0" xfId="1" applyFont="1" applyFill="1" applyBorder="1"/>
    <xf numFmtId="43" fontId="25" fillId="0" borderId="0" xfId="0" applyNumberFormat="1" applyFont="1"/>
    <xf numFmtId="0" fontId="0" fillId="3" borderId="0" xfId="0" applyFill="1"/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6" fillId="0" borderId="0" xfId="0" applyFont="1"/>
    <xf numFmtId="0" fontId="27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43" fontId="19" fillId="0" borderId="0" xfId="1" applyFont="1" applyAlignment="1">
      <alignment horizontal="right"/>
    </xf>
    <xf numFmtId="0" fontId="19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43" fontId="19" fillId="0" borderId="0" xfId="1" applyFont="1" applyBorder="1" applyAlignment="1">
      <alignment horizontal="center"/>
    </xf>
    <xf numFmtId="0" fontId="19" fillId="0" borderId="0" xfId="0" applyFont="1"/>
    <xf numFmtId="0" fontId="23" fillId="0" borderId="0" xfId="0" applyFont="1"/>
    <xf numFmtId="0" fontId="32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43" fontId="31" fillId="0" borderId="0" xfId="1" applyFont="1" applyFill="1" applyBorder="1" applyAlignment="1"/>
    <xf numFmtId="43" fontId="31" fillId="0" borderId="0" xfId="1" applyFont="1"/>
    <xf numFmtId="164" fontId="31" fillId="0" borderId="0" xfId="0" applyNumberFormat="1" applyFont="1"/>
    <xf numFmtId="43" fontId="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33" fillId="0" borderId="0" xfId="0" applyFont="1"/>
    <xf numFmtId="43" fontId="0" fillId="0" borderId="0" xfId="0" applyNumberFormat="1"/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43" fontId="6" fillId="0" borderId="0" xfId="1" applyFont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2" fillId="0" borderId="0" xfId="1" applyFont="1"/>
    <xf numFmtId="43" fontId="4" fillId="0" borderId="0" xfId="1" applyFont="1" applyAlignment="1">
      <alignment horizontal="center" vertical="center" wrapText="1"/>
    </xf>
    <xf numFmtId="43" fontId="17" fillId="0" borderId="0" xfId="1" applyFont="1" applyAlignment="1">
      <alignment horizontal="center"/>
    </xf>
    <xf numFmtId="0" fontId="3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3" fontId="10" fillId="0" borderId="0" xfId="1" applyFont="1"/>
    <xf numFmtId="166" fontId="1" fillId="0" borderId="1" xfId="1" applyNumberFormat="1" applyFont="1" applyBorder="1"/>
    <xf numFmtId="166" fontId="0" fillId="0" borderId="0" xfId="1" applyNumberFormat="1" applyFont="1"/>
    <xf numFmtId="166" fontId="8" fillId="0" borderId="0" xfId="1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6" fontId="0" fillId="0" borderId="0" xfId="1" applyNumberFormat="1" applyFont="1" applyBorder="1" applyAlignment="1"/>
    <xf numFmtId="165" fontId="0" fillId="0" borderId="0" xfId="0" applyNumberFormat="1" applyAlignment="1">
      <alignment horizontal="center"/>
    </xf>
    <xf numFmtId="166" fontId="10" fillId="0" borderId="0" xfId="1" applyNumberFormat="1" applyFont="1" applyFill="1" applyBorder="1" applyAlignment="1"/>
    <xf numFmtId="166" fontId="1" fillId="0" borderId="1" xfId="1" applyNumberFormat="1" applyFont="1" applyFill="1" applyBorder="1"/>
    <xf numFmtId="165" fontId="2" fillId="0" borderId="1" xfId="0" applyNumberFormat="1" applyFont="1" applyBorder="1"/>
    <xf numFmtId="166" fontId="0" fillId="0" borderId="1" xfId="1" applyNumberFormat="1" applyFont="1" applyFill="1" applyBorder="1"/>
    <xf numFmtId="166" fontId="2" fillId="0" borderId="1" xfId="1" applyNumberFormat="1" applyFont="1" applyBorder="1"/>
    <xf numFmtId="166" fontId="2" fillId="0" borderId="3" xfId="1" applyNumberFormat="1" applyFont="1" applyBorder="1"/>
    <xf numFmtId="166" fontId="2" fillId="0" borderId="1" xfId="0" applyNumberFormat="1" applyFont="1" applyBorder="1"/>
    <xf numFmtId="166" fontId="0" fillId="2" borderId="0" xfId="1" applyNumberFormat="1" applyFont="1" applyFill="1"/>
    <xf numFmtId="166" fontId="0" fillId="0" borderId="0" xfId="1" applyNumberFormat="1" applyFont="1" applyAlignment="1">
      <alignment vertical="center"/>
    </xf>
    <xf numFmtId="166" fontId="31" fillId="0" borderId="0" xfId="1" applyNumberFormat="1" applyFont="1" applyAlignment="1">
      <alignment vertical="center"/>
    </xf>
    <xf numFmtId="166" fontId="25" fillId="0" borderId="0" xfId="1" applyNumberFormat="1" applyFont="1"/>
    <xf numFmtId="166" fontId="25" fillId="0" borderId="0" xfId="0" applyNumberFormat="1" applyFont="1"/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6" fontId="2" fillId="0" borderId="0" xfId="1" applyNumberFormat="1" applyFont="1"/>
    <xf numFmtId="165" fontId="33" fillId="0" borderId="0" xfId="0" applyNumberFormat="1" applyFont="1"/>
    <xf numFmtId="0" fontId="21" fillId="0" borderId="0" xfId="0" applyFont="1" applyAlignment="1">
      <alignment vertical="center"/>
    </xf>
    <xf numFmtId="166" fontId="28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" fillId="0" borderId="2" xfId="0" applyFont="1" applyBorder="1"/>
    <xf numFmtId="43" fontId="39" fillId="0" borderId="0" xfId="1" applyFont="1" applyBorder="1" applyAlignment="1">
      <alignment horizontal="center"/>
    </xf>
    <xf numFmtId="0" fontId="38" fillId="0" borderId="0" xfId="0" applyFont="1"/>
    <xf numFmtId="0" fontId="40" fillId="0" borderId="0" xfId="0" applyFont="1"/>
    <xf numFmtId="43" fontId="41" fillId="0" borderId="0" xfId="1" applyFont="1"/>
    <xf numFmtId="0" fontId="13" fillId="0" borderId="0" xfId="0" applyFont="1" applyAlignment="1">
      <alignment horizontal="center"/>
    </xf>
    <xf numFmtId="166" fontId="2" fillId="0" borderId="0" xfId="0" applyNumberFormat="1" applyFont="1"/>
    <xf numFmtId="166" fontId="0" fillId="0" borderId="0" xfId="0" applyNumberFormat="1" applyAlignment="1">
      <alignment horizontal="center"/>
    </xf>
    <xf numFmtId="166" fontId="0" fillId="0" borderId="0" xfId="1" applyNumberFormat="1" applyFont="1" applyFill="1" applyBorder="1" applyAlignment="1"/>
    <xf numFmtId="0" fontId="23" fillId="0" borderId="0" xfId="0" applyFont="1" applyAlignment="1">
      <alignment horizontal="center" wrapText="1"/>
    </xf>
    <xf numFmtId="3" fontId="0" fillId="0" borderId="0" xfId="0" applyNumberFormat="1"/>
    <xf numFmtId="3" fontId="10" fillId="0" borderId="0" xfId="0" applyNumberFormat="1" applyFont="1"/>
    <xf numFmtId="4" fontId="10" fillId="0" borderId="0" xfId="0" applyNumberFormat="1" applyFont="1"/>
    <xf numFmtId="0" fontId="32" fillId="0" borderId="0" xfId="0" applyFont="1" applyAlignment="1">
      <alignment horizontal="center" vertical="center"/>
    </xf>
    <xf numFmtId="0" fontId="31" fillId="2" borderId="0" xfId="0" applyFont="1" applyFill="1"/>
    <xf numFmtId="4" fontId="32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165" fontId="2" fillId="0" borderId="0" xfId="0" applyNumberFormat="1" applyFont="1"/>
    <xf numFmtId="166" fontId="1" fillId="0" borderId="0" xfId="1" applyNumberFormat="1" applyFont="1" applyFill="1" applyBorder="1"/>
    <xf numFmtId="0" fontId="27" fillId="0" borderId="1" xfId="0" applyFont="1" applyBorder="1" applyAlignment="1">
      <alignment horizontal="center" vertical="center" wrapText="1"/>
    </xf>
    <xf numFmtId="166" fontId="0" fillId="0" borderId="1" xfId="0" applyNumberFormat="1" applyBorder="1"/>
    <xf numFmtId="166" fontId="10" fillId="0" borderId="0" xfId="1" applyNumberFormat="1" applyFont="1"/>
    <xf numFmtId="166" fontId="31" fillId="0" borderId="0" xfId="1" applyNumberFormat="1" applyFont="1"/>
    <xf numFmtId="166" fontId="0" fillId="0" borderId="1" xfId="1" applyNumberFormat="1" applyFont="1" applyBorder="1"/>
    <xf numFmtId="166" fontId="14" fillId="0" borderId="0" xfId="1" applyNumberFormat="1" applyFont="1" applyFill="1" applyBorder="1"/>
    <xf numFmtId="166" fontId="1" fillId="0" borderId="0" xfId="1" applyNumberFormat="1" applyFont="1" applyBorder="1"/>
    <xf numFmtId="0" fontId="21" fillId="0" borderId="0" xfId="0" applyFont="1" applyAlignment="1">
      <alignment vertical="center" wrapText="1"/>
    </xf>
    <xf numFmtId="166" fontId="0" fillId="0" borderId="0" xfId="1" applyNumberFormat="1" applyFont="1" applyBorder="1"/>
    <xf numFmtId="13" fontId="14" fillId="0" borderId="0" xfId="1" applyNumberFormat="1" applyFont="1" applyBorder="1"/>
    <xf numFmtId="166" fontId="10" fillId="0" borderId="1" xfId="1" applyNumberFormat="1" applyFont="1" applyBorder="1"/>
    <xf numFmtId="43" fontId="10" fillId="0" borderId="0" xfId="1" applyFont="1" applyAlignment="1">
      <alignment horizontal="center"/>
    </xf>
    <xf numFmtId="43" fontId="10" fillId="0" borderId="1" xfId="1" applyFont="1" applyFill="1" applyBorder="1"/>
    <xf numFmtId="3" fontId="14" fillId="0" borderId="0" xfId="0" applyNumberFormat="1" applyFont="1"/>
    <xf numFmtId="166" fontId="2" fillId="0" borderId="0" xfId="1" applyNumberFormat="1" applyFont="1" applyBorder="1"/>
    <xf numFmtId="166" fontId="0" fillId="0" borderId="0" xfId="1" applyNumberFormat="1" applyFont="1" applyFill="1" applyBorder="1"/>
    <xf numFmtId="0" fontId="18" fillId="0" borderId="0" xfId="0" applyFont="1" applyAlignment="1">
      <alignment vertical="center"/>
    </xf>
    <xf numFmtId="166" fontId="1" fillId="0" borderId="7" xfId="1" applyNumberFormat="1" applyFont="1" applyBorder="1"/>
    <xf numFmtId="43" fontId="1" fillId="0" borderId="7" xfId="1" applyFont="1" applyBorder="1"/>
    <xf numFmtId="43" fontId="0" fillId="0" borderId="7" xfId="1" applyFont="1" applyBorder="1"/>
    <xf numFmtId="165" fontId="2" fillId="0" borderId="7" xfId="0" applyNumberFormat="1" applyFont="1" applyBorder="1"/>
    <xf numFmtId="0" fontId="15" fillId="0" borderId="0" xfId="0" applyFont="1"/>
    <xf numFmtId="0" fontId="7" fillId="0" borderId="0" xfId="0" applyFont="1"/>
    <xf numFmtId="0" fontId="26" fillId="0" borderId="0" xfId="0" applyFont="1"/>
    <xf numFmtId="0" fontId="15" fillId="0" borderId="0" xfId="0" applyFont="1" applyAlignment="1">
      <alignment vertical="center"/>
    </xf>
    <xf numFmtId="166" fontId="10" fillId="0" borderId="7" xfId="1" applyNumberFormat="1" applyFont="1" applyFill="1" applyBorder="1"/>
    <xf numFmtId="0" fontId="44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7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CHOOL%20FEES%202017-18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BS F, L 2016-17"/>
      <sheetName val="SAS 2016-17"/>
      <sheetName val="GRAD 2016-17"/>
      <sheetName val="CBS 2017-18"/>
      <sheetName val="SAS 2017-18"/>
      <sheetName val="GRAD 2017-18"/>
    </sheetNames>
    <sheetDataSet>
      <sheetData sheetId="0" refreshError="1"/>
      <sheetData sheetId="1" refreshError="1">
        <row r="6">
          <cell r="B6">
            <v>2930</v>
          </cell>
        </row>
        <row r="35">
          <cell r="J35">
            <v>0</v>
          </cell>
        </row>
        <row r="36">
          <cell r="J3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workbookViewId="0">
      <selection activeCell="F3" sqref="F3"/>
    </sheetView>
  </sheetViews>
  <sheetFormatPr defaultRowHeight="15"/>
  <cols>
    <col min="2" max="2" width="23.7109375" customWidth="1"/>
    <col min="3" max="3" width="13.7109375" customWidth="1"/>
    <col min="4" max="4" width="13" customWidth="1"/>
    <col min="5" max="5" width="10.42578125" customWidth="1"/>
    <col min="6" max="6" width="12.5703125" customWidth="1"/>
    <col min="7" max="7" width="11.42578125" customWidth="1"/>
    <col min="8" max="8" width="12.28515625" customWidth="1"/>
    <col min="9" max="9" width="10.42578125" style="10" bestFit="1" customWidth="1"/>
    <col min="10" max="12" width="12.5703125" customWidth="1"/>
    <col min="13" max="13" width="14.5703125" customWidth="1"/>
    <col min="14" max="16" width="12.7109375" customWidth="1"/>
    <col min="17" max="17" width="11.5703125" customWidth="1"/>
    <col min="18" max="18" width="10" bestFit="1" customWidth="1"/>
  </cols>
  <sheetData>
    <row r="1" spans="1:13" ht="20.25">
      <c r="A1" s="203" t="s">
        <v>255</v>
      </c>
      <c r="B1" s="203"/>
      <c r="C1" s="203"/>
      <c r="D1" s="203"/>
      <c r="E1" s="203"/>
      <c r="F1" s="203"/>
      <c r="G1" s="203"/>
      <c r="H1" s="203"/>
      <c r="I1" s="203"/>
    </row>
    <row r="2" spans="1:13" ht="20.25">
      <c r="A2" s="203" t="s">
        <v>0</v>
      </c>
      <c r="B2" s="203"/>
      <c r="C2" s="203"/>
      <c r="D2" s="203"/>
      <c r="E2" s="203"/>
      <c r="F2" s="203"/>
      <c r="G2" s="203"/>
      <c r="H2" s="203"/>
      <c r="I2" s="203"/>
    </row>
    <row r="3" spans="1:13" ht="31.5">
      <c r="A3" s="202" t="s">
        <v>1</v>
      </c>
      <c r="B3" s="202"/>
      <c r="C3" s="1" t="s">
        <v>2</v>
      </c>
      <c r="D3" s="2" t="s">
        <v>3</v>
      </c>
      <c r="E3" s="3" t="s">
        <v>4</v>
      </c>
      <c r="F3" s="3" t="s">
        <v>274</v>
      </c>
      <c r="G3" s="3" t="s">
        <v>201</v>
      </c>
      <c r="H3" s="3" t="s">
        <v>5</v>
      </c>
      <c r="I3" s="118" t="s">
        <v>6</v>
      </c>
    </row>
    <row r="4" spans="1:13" ht="15.75">
      <c r="A4" s="5" t="s">
        <v>7</v>
      </c>
      <c r="C4" s="6" t="s">
        <v>8</v>
      </c>
      <c r="D4" s="6" t="s">
        <v>8</v>
      </c>
      <c r="E4" s="6" t="s">
        <v>8</v>
      </c>
      <c r="F4" s="6" t="s">
        <v>8</v>
      </c>
      <c r="G4" s="6" t="s">
        <v>8</v>
      </c>
      <c r="H4" s="6" t="s">
        <v>8</v>
      </c>
      <c r="I4" s="119" t="s">
        <v>8</v>
      </c>
    </row>
    <row r="5" spans="1:13" ht="15.75">
      <c r="A5" s="7" t="s">
        <v>9</v>
      </c>
      <c r="C5" s="128">
        <f>(2289.6*1.05)+50+50</f>
        <v>2504.08</v>
      </c>
      <c r="D5" s="9">
        <v>80</v>
      </c>
      <c r="E5" s="9">
        <v>20</v>
      </c>
      <c r="F5" s="9">
        <v>100</v>
      </c>
      <c r="G5" s="9">
        <v>200</v>
      </c>
      <c r="H5" s="10">
        <v>0</v>
      </c>
      <c r="I5" s="129">
        <f t="shared" ref="I5:I12" si="0">SUM(C5:H5)</f>
        <v>2904.08</v>
      </c>
      <c r="L5" s="146"/>
    </row>
    <row r="6" spans="1:13" ht="15.75">
      <c r="A6" s="7" t="s">
        <v>10</v>
      </c>
      <c r="C6" s="128">
        <f t="shared" ref="C6:C11" si="1">(2289.6*1.05)+50+50</f>
        <v>2504.08</v>
      </c>
      <c r="D6" s="9">
        <v>80</v>
      </c>
      <c r="E6" s="9">
        <v>20</v>
      </c>
      <c r="F6" s="9">
        <v>100</v>
      </c>
      <c r="G6" s="9">
        <v>200</v>
      </c>
      <c r="H6" s="10">
        <v>0</v>
      </c>
      <c r="I6" s="129">
        <f t="shared" si="0"/>
        <v>2904.08</v>
      </c>
    </row>
    <row r="7" spans="1:13" ht="15.75">
      <c r="A7" s="7" t="s">
        <v>11</v>
      </c>
      <c r="C7" s="128">
        <f t="shared" si="1"/>
        <v>2504.08</v>
      </c>
      <c r="D7" s="9">
        <v>80</v>
      </c>
      <c r="E7" s="9">
        <v>20</v>
      </c>
      <c r="F7" s="9">
        <v>100</v>
      </c>
      <c r="G7" s="9">
        <v>200</v>
      </c>
      <c r="H7" s="10">
        <v>0</v>
      </c>
      <c r="I7" s="129">
        <f t="shared" si="0"/>
        <v>2904.08</v>
      </c>
    </row>
    <row r="8" spans="1:13" ht="15.75">
      <c r="A8" s="7" t="s">
        <v>12</v>
      </c>
      <c r="C8" s="128">
        <f t="shared" si="1"/>
        <v>2504.08</v>
      </c>
      <c r="D8" s="9">
        <v>80</v>
      </c>
      <c r="E8" s="9">
        <v>20</v>
      </c>
      <c r="F8" s="9">
        <v>100</v>
      </c>
      <c r="G8" s="9">
        <v>200</v>
      </c>
      <c r="H8" s="10">
        <v>0</v>
      </c>
      <c r="I8" s="129">
        <f t="shared" si="0"/>
        <v>2904.08</v>
      </c>
    </row>
    <row r="9" spans="1:13" ht="15.75">
      <c r="A9" s="7" t="s">
        <v>13</v>
      </c>
      <c r="C9" s="128">
        <f t="shared" si="1"/>
        <v>2504.08</v>
      </c>
      <c r="D9" s="9">
        <v>80</v>
      </c>
      <c r="E9" s="9">
        <v>20</v>
      </c>
      <c r="F9" s="9">
        <v>100</v>
      </c>
      <c r="G9" s="9">
        <v>200</v>
      </c>
      <c r="H9" s="10">
        <v>0</v>
      </c>
      <c r="I9" s="129">
        <f t="shared" si="0"/>
        <v>2904.08</v>
      </c>
    </row>
    <row r="10" spans="1:13" ht="15.75">
      <c r="A10" s="7" t="s">
        <v>14</v>
      </c>
      <c r="C10" s="128">
        <f t="shared" si="1"/>
        <v>2504.08</v>
      </c>
      <c r="D10" s="9">
        <v>80</v>
      </c>
      <c r="E10" s="9">
        <v>20</v>
      </c>
      <c r="F10" s="9">
        <v>100</v>
      </c>
      <c r="G10" s="9">
        <v>200</v>
      </c>
      <c r="H10" s="10">
        <v>0</v>
      </c>
      <c r="I10" s="129">
        <f t="shared" si="0"/>
        <v>2904.08</v>
      </c>
    </row>
    <row r="11" spans="1:13" ht="15.75">
      <c r="A11" s="7" t="s">
        <v>15</v>
      </c>
      <c r="C11" s="128">
        <f t="shared" si="1"/>
        <v>2504.08</v>
      </c>
      <c r="D11" s="9">
        <v>80</v>
      </c>
      <c r="E11" s="9">
        <v>20</v>
      </c>
      <c r="F11" s="9">
        <v>100</v>
      </c>
      <c r="G11" s="9">
        <v>200</v>
      </c>
      <c r="H11" s="10">
        <v>0</v>
      </c>
      <c r="I11" s="129">
        <f t="shared" si="0"/>
        <v>2904.08</v>
      </c>
      <c r="M11" s="11"/>
    </row>
    <row r="12" spans="1:13" ht="15.75">
      <c r="A12" t="s">
        <v>173</v>
      </c>
      <c r="C12" s="128">
        <f>(2438*1.05)+50+50</f>
        <v>2659.9</v>
      </c>
      <c r="D12" s="9">
        <v>80</v>
      </c>
      <c r="E12" s="9">
        <v>20</v>
      </c>
      <c r="F12" s="9">
        <v>100</v>
      </c>
      <c r="G12" s="9">
        <v>200</v>
      </c>
      <c r="H12" s="12">
        <v>0</v>
      </c>
      <c r="I12" s="129">
        <f t="shared" si="0"/>
        <v>3059.9</v>
      </c>
      <c r="L12" s="146"/>
    </row>
    <row r="13" spans="1:13" ht="15.75">
      <c r="C13" s="8"/>
      <c r="D13" s="9"/>
      <c r="E13" s="9"/>
      <c r="F13" s="9"/>
      <c r="G13" s="9"/>
      <c r="H13" s="12"/>
      <c r="I13" s="12"/>
    </row>
    <row r="14" spans="1:13" ht="15.75">
      <c r="C14" s="8"/>
      <c r="D14" s="9"/>
      <c r="E14" s="9"/>
      <c r="F14" s="9"/>
      <c r="G14" s="9"/>
      <c r="H14" s="12"/>
      <c r="I14" s="12"/>
    </row>
    <row r="15" spans="1:13" ht="15.75">
      <c r="A15" s="5" t="s">
        <v>16</v>
      </c>
      <c r="C15" s="13"/>
      <c r="D15" s="13"/>
      <c r="E15" s="13"/>
      <c r="F15" s="13"/>
      <c r="G15" s="13"/>
      <c r="H15" s="13"/>
      <c r="I15" s="27"/>
    </row>
    <row r="16" spans="1:13" ht="15.75">
      <c r="A16" s="7" t="s">
        <v>17</v>
      </c>
      <c r="C16" s="128">
        <f>(2713.6*1.05)+50+50</f>
        <v>2949.28</v>
      </c>
      <c r="D16" s="9">
        <v>80</v>
      </c>
      <c r="E16" s="9">
        <v>20</v>
      </c>
      <c r="F16" s="9">
        <v>100</v>
      </c>
      <c r="G16" s="9">
        <v>200</v>
      </c>
      <c r="H16" s="14">
        <v>0</v>
      </c>
      <c r="I16" s="129">
        <f t="shared" ref="I16:I28" si="2">SUM(C16:H16)</f>
        <v>3349.28</v>
      </c>
      <c r="J16" t="s">
        <v>18</v>
      </c>
      <c r="L16" s="163"/>
      <c r="M16" s="10"/>
    </row>
    <row r="17" spans="1:13" s="16" customFormat="1" ht="15.75">
      <c r="A17" s="15" t="s">
        <v>19</v>
      </c>
      <c r="C17" s="175">
        <f>(2480.4*1.05)+50+50</f>
        <v>2704.42</v>
      </c>
      <c r="D17" s="9">
        <v>80</v>
      </c>
      <c r="E17" s="18">
        <v>20</v>
      </c>
      <c r="F17" s="9">
        <v>100</v>
      </c>
      <c r="G17" s="9">
        <v>200</v>
      </c>
      <c r="H17" s="19">
        <v>0</v>
      </c>
      <c r="I17" s="129">
        <f t="shared" si="2"/>
        <v>3104.42</v>
      </c>
      <c r="L17" s="164"/>
      <c r="M17" s="126"/>
    </row>
    <row r="18" spans="1:13" ht="15.75">
      <c r="A18" s="7" t="s">
        <v>20</v>
      </c>
      <c r="C18" s="128">
        <f>(2851.4*1.05)+50+50</f>
        <v>3093.9700000000003</v>
      </c>
      <c r="D18" s="9">
        <v>80</v>
      </c>
      <c r="E18" s="9">
        <v>20</v>
      </c>
      <c r="F18" s="9">
        <v>100</v>
      </c>
      <c r="G18" s="9">
        <v>200</v>
      </c>
      <c r="H18" s="14">
        <v>0</v>
      </c>
      <c r="I18" s="129">
        <f t="shared" si="2"/>
        <v>3493.9700000000003</v>
      </c>
      <c r="L18" s="163"/>
      <c r="M18" s="10"/>
    </row>
    <row r="19" spans="1:13" ht="15.75">
      <c r="A19" s="7" t="s">
        <v>21</v>
      </c>
      <c r="C19" s="128">
        <f>(2596.152*1.05)+50+50</f>
        <v>2825.9596000000001</v>
      </c>
      <c r="D19" s="9">
        <v>80</v>
      </c>
      <c r="E19" s="9">
        <v>20</v>
      </c>
      <c r="F19" s="9">
        <v>100</v>
      </c>
      <c r="G19" s="9">
        <v>200</v>
      </c>
      <c r="H19" s="10">
        <f>500*1.1</f>
        <v>550</v>
      </c>
      <c r="I19" s="129">
        <f t="shared" si="2"/>
        <v>3775.9596000000001</v>
      </c>
      <c r="L19" s="164"/>
      <c r="M19" s="10"/>
    </row>
    <row r="20" spans="1:13" ht="15.75">
      <c r="A20" s="7" t="s">
        <v>22</v>
      </c>
      <c r="C20" s="128">
        <f>(2713.6*1.05)+50+50</f>
        <v>2949.28</v>
      </c>
      <c r="D20" s="9">
        <v>80</v>
      </c>
      <c r="E20" s="9">
        <v>20</v>
      </c>
      <c r="F20" s="9">
        <v>100</v>
      </c>
      <c r="G20" s="9">
        <v>200</v>
      </c>
      <c r="H20" s="10">
        <v>0</v>
      </c>
      <c r="I20" s="129">
        <f t="shared" si="2"/>
        <v>3349.28</v>
      </c>
      <c r="L20" s="163"/>
      <c r="M20" s="10"/>
    </row>
    <row r="21" spans="1:13" ht="15.75">
      <c r="A21" s="7" t="s">
        <v>23</v>
      </c>
      <c r="C21" s="128">
        <f>(2586.4*1.05)+50+50</f>
        <v>2815.7200000000003</v>
      </c>
      <c r="D21" s="9">
        <v>80</v>
      </c>
      <c r="E21" s="9">
        <v>20</v>
      </c>
      <c r="F21" s="9">
        <v>100</v>
      </c>
      <c r="G21" s="9">
        <v>200</v>
      </c>
      <c r="H21" s="10">
        <v>0</v>
      </c>
      <c r="I21" s="129">
        <f t="shared" si="2"/>
        <v>3215.7200000000003</v>
      </c>
      <c r="L21" s="164"/>
      <c r="M21" s="10"/>
    </row>
    <row r="22" spans="1:13" ht="15.75">
      <c r="A22" s="7" t="s">
        <v>24</v>
      </c>
      <c r="C22" s="128">
        <f>(2586.4*1.05)+50+50</f>
        <v>2815.7200000000003</v>
      </c>
      <c r="D22" s="9">
        <v>80</v>
      </c>
      <c r="E22" s="9">
        <v>20</v>
      </c>
      <c r="F22" s="9">
        <v>100</v>
      </c>
      <c r="G22" s="9">
        <v>200</v>
      </c>
      <c r="H22" s="10">
        <v>0</v>
      </c>
      <c r="I22" s="129">
        <f t="shared" si="2"/>
        <v>3215.7200000000003</v>
      </c>
      <c r="L22" s="163"/>
      <c r="M22" s="10"/>
    </row>
    <row r="23" spans="1:13" ht="15.75">
      <c r="A23" s="7" t="s">
        <v>25</v>
      </c>
      <c r="C23" s="128">
        <f>(2586.4*1.05)+50+50</f>
        <v>2815.7200000000003</v>
      </c>
      <c r="D23" s="9">
        <v>80</v>
      </c>
      <c r="E23" s="9">
        <v>20</v>
      </c>
      <c r="F23" s="9">
        <v>100</v>
      </c>
      <c r="G23" s="9">
        <v>200</v>
      </c>
      <c r="H23" s="10">
        <v>0</v>
      </c>
      <c r="I23" s="129">
        <f t="shared" si="2"/>
        <v>3215.7200000000003</v>
      </c>
      <c r="L23" s="164"/>
      <c r="M23" s="10"/>
    </row>
    <row r="24" spans="1:13" ht="15.75">
      <c r="A24" s="7" t="s">
        <v>26</v>
      </c>
      <c r="C24" s="128">
        <f>(2104.1*1.05)+50+50</f>
        <v>2309.3049999999998</v>
      </c>
      <c r="D24" s="9">
        <v>80</v>
      </c>
      <c r="E24" s="9">
        <v>20</v>
      </c>
      <c r="F24" s="9">
        <v>100</v>
      </c>
      <c r="G24" s="9">
        <v>200</v>
      </c>
      <c r="H24" s="12">
        <v>0</v>
      </c>
      <c r="I24" s="129">
        <f t="shared" si="2"/>
        <v>2709.3049999999998</v>
      </c>
      <c r="L24" s="163"/>
      <c r="M24" s="10"/>
    </row>
    <row r="25" spans="1:13" ht="15.75">
      <c r="A25" s="7" t="s">
        <v>27</v>
      </c>
      <c r="C25" s="128">
        <f>(2104.1*1.05)+50+50</f>
        <v>2309.3049999999998</v>
      </c>
      <c r="D25" s="9">
        <v>80</v>
      </c>
      <c r="E25" s="9">
        <v>20</v>
      </c>
      <c r="F25" s="9">
        <v>100</v>
      </c>
      <c r="G25" s="9">
        <v>200</v>
      </c>
      <c r="H25" s="12">
        <v>0</v>
      </c>
      <c r="I25" s="129">
        <f t="shared" si="2"/>
        <v>2709.3049999999998</v>
      </c>
      <c r="L25" s="164"/>
      <c r="M25" s="10"/>
    </row>
    <row r="26" spans="1:13" s="16" customFormat="1" ht="15.75">
      <c r="A26" s="15" t="s">
        <v>28</v>
      </c>
      <c r="C26" s="175">
        <f>(1998.1*1.05)+50+50</f>
        <v>2198.0050000000001</v>
      </c>
      <c r="D26" s="9">
        <v>80</v>
      </c>
      <c r="E26" s="18">
        <v>20</v>
      </c>
      <c r="F26" s="9">
        <v>100</v>
      </c>
      <c r="G26" s="9">
        <v>200</v>
      </c>
      <c r="H26" s="20">
        <v>0</v>
      </c>
      <c r="I26" s="129">
        <f t="shared" si="2"/>
        <v>2598.0050000000001</v>
      </c>
      <c r="L26" s="163"/>
      <c r="M26" s="126"/>
    </row>
    <row r="27" spans="1:13" ht="15.75">
      <c r="A27" t="s">
        <v>172</v>
      </c>
      <c r="C27" s="128">
        <f>(1908*1.05)+50+50</f>
        <v>2103.4</v>
      </c>
      <c r="D27" s="9">
        <v>80</v>
      </c>
      <c r="E27" s="9">
        <v>20</v>
      </c>
      <c r="F27" s="9">
        <v>100</v>
      </c>
      <c r="G27" s="9">
        <v>200</v>
      </c>
      <c r="H27" s="10">
        <v>0</v>
      </c>
      <c r="I27" s="129">
        <f t="shared" si="2"/>
        <v>2503.4</v>
      </c>
      <c r="L27" s="164"/>
      <c r="M27" s="10"/>
    </row>
    <row r="28" spans="1:13" ht="15.75">
      <c r="A28" s="7" t="s">
        <v>203</v>
      </c>
      <c r="C28" s="128">
        <f>(2862*1.05)+50+50</f>
        <v>3105.1</v>
      </c>
      <c r="D28" s="9">
        <v>80</v>
      </c>
      <c r="E28" s="9">
        <v>20</v>
      </c>
      <c r="F28" s="9">
        <v>100</v>
      </c>
      <c r="G28" s="9">
        <v>200</v>
      </c>
      <c r="H28" s="14">
        <v>0</v>
      </c>
      <c r="I28" s="129">
        <f t="shared" si="2"/>
        <v>3505.1</v>
      </c>
      <c r="L28" s="163"/>
      <c r="M28" s="10"/>
    </row>
    <row r="29" spans="1:13" ht="15.75">
      <c r="C29" s="8"/>
      <c r="D29" s="9"/>
      <c r="E29" s="9"/>
      <c r="F29" s="9"/>
      <c r="G29" s="9"/>
      <c r="H29" s="14"/>
      <c r="I29" s="12"/>
    </row>
    <row r="30" spans="1:13" ht="15.75">
      <c r="C30" s="8"/>
      <c r="D30" s="9"/>
      <c r="E30" s="9"/>
      <c r="F30" s="9"/>
      <c r="G30" s="9"/>
      <c r="H30" s="14"/>
      <c r="I30" s="12"/>
    </row>
    <row r="31" spans="1:13" ht="15.75">
      <c r="A31" s="202" t="s">
        <v>1</v>
      </c>
      <c r="B31" s="202"/>
      <c r="C31" s="13"/>
      <c r="D31" s="13"/>
      <c r="E31" s="13"/>
      <c r="F31" s="13"/>
      <c r="G31" s="13"/>
      <c r="H31" s="13"/>
      <c r="I31" s="27"/>
    </row>
    <row r="32" spans="1:13" ht="15.75">
      <c r="A32" s="22" t="s">
        <v>210</v>
      </c>
      <c r="C32" s="130">
        <f>(5365*1.1)+50+50</f>
        <v>6001.5000000000009</v>
      </c>
      <c r="D32" s="9">
        <v>80</v>
      </c>
      <c r="E32" s="9">
        <v>20</v>
      </c>
      <c r="F32" s="9">
        <v>100</v>
      </c>
      <c r="G32" s="9">
        <v>200</v>
      </c>
      <c r="H32" s="12">
        <v>0</v>
      </c>
      <c r="I32" s="129">
        <f>SUM(C32:H32)</f>
        <v>6401.5000000000009</v>
      </c>
      <c r="L32" s="163"/>
    </row>
    <row r="33" spans="1:12" ht="15.75">
      <c r="A33" s="7"/>
      <c r="C33" s="13"/>
      <c r="D33" s="13"/>
      <c r="E33" s="13"/>
      <c r="F33" s="13"/>
      <c r="G33" s="13"/>
      <c r="H33" s="13"/>
    </row>
    <row r="34" spans="1:12" ht="15.75">
      <c r="A34" s="7"/>
      <c r="C34" s="13"/>
      <c r="D34" s="13"/>
      <c r="E34" s="13"/>
      <c r="F34" s="13"/>
      <c r="G34" s="13"/>
      <c r="H34" s="13"/>
    </row>
    <row r="39" spans="1:12" ht="20.25">
      <c r="A39" s="203" t="s">
        <v>256</v>
      </c>
      <c r="B39" s="203"/>
      <c r="C39" s="203"/>
      <c r="D39" s="203"/>
      <c r="E39" s="203"/>
      <c r="F39" s="203"/>
      <c r="G39" s="203"/>
      <c r="H39" s="203"/>
      <c r="I39" s="203"/>
    </row>
    <row r="40" spans="1:12" ht="20.25">
      <c r="A40" s="203" t="s">
        <v>31</v>
      </c>
      <c r="B40" s="203"/>
      <c r="C40" s="203"/>
      <c r="D40" s="203"/>
      <c r="E40" s="203"/>
      <c r="F40" s="203"/>
      <c r="G40" s="203"/>
      <c r="H40" s="203"/>
      <c r="I40" s="203"/>
    </row>
    <row r="41" spans="1:12" ht="31.5">
      <c r="A41" s="202" t="s">
        <v>1</v>
      </c>
      <c r="B41" s="202"/>
      <c r="C41" s="1" t="s">
        <v>2</v>
      </c>
      <c r="D41" s="2" t="s">
        <v>3</v>
      </c>
      <c r="E41" s="3" t="s">
        <v>4</v>
      </c>
      <c r="F41" s="3" t="s">
        <v>274</v>
      </c>
      <c r="G41" s="3" t="s">
        <v>201</v>
      </c>
      <c r="H41" s="3" t="s">
        <v>5</v>
      </c>
      <c r="I41" s="118" t="s">
        <v>6</v>
      </c>
    </row>
    <row r="42" spans="1:12" ht="15.75">
      <c r="A42" s="5" t="s">
        <v>7</v>
      </c>
      <c r="C42" s="23" t="s">
        <v>32</v>
      </c>
      <c r="D42" s="23" t="s">
        <v>32</v>
      </c>
      <c r="E42" s="23" t="s">
        <v>32</v>
      </c>
      <c r="F42" s="23" t="s">
        <v>32</v>
      </c>
      <c r="G42" s="23" t="s">
        <v>32</v>
      </c>
      <c r="H42" s="23" t="s">
        <v>32</v>
      </c>
      <c r="I42" s="120" t="s">
        <v>32</v>
      </c>
    </row>
    <row r="43" spans="1:12" ht="15.75">
      <c r="A43" s="15" t="s">
        <v>33</v>
      </c>
      <c r="B43" s="16"/>
      <c r="C43" s="17">
        <f>1524+8+8</f>
        <v>1540</v>
      </c>
      <c r="D43" s="18">
        <v>9</v>
      </c>
      <c r="E43" s="18">
        <v>2</v>
      </c>
      <c r="F43" s="18">
        <v>15</v>
      </c>
      <c r="G43" s="18">
        <v>16</v>
      </c>
      <c r="H43" s="20">
        <v>0</v>
      </c>
      <c r="I43" s="20">
        <f t="shared" ref="I43:I49" si="3">SUM(C43:H43)</f>
        <v>1582</v>
      </c>
      <c r="L43" s="11"/>
    </row>
    <row r="44" spans="1:12" ht="15.75">
      <c r="A44" s="15" t="s">
        <v>34</v>
      </c>
      <c r="B44" s="16"/>
      <c r="C44" s="17">
        <f t="shared" ref="C44:C49" si="4">1524+8+8</f>
        <v>1540</v>
      </c>
      <c r="D44" s="18">
        <v>9</v>
      </c>
      <c r="E44" s="18">
        <v>2</v>
      </c>
      <c r="F44" s="18">
        <v>15</v>
      </c>
      <c r="G44" s="18">
        <v>16</v>
      </c>
      <c r="H44" s="20">
        <v>0</v>
      </c>
      <c r="I44" s="20">
        <f t="shared" si="3"/>
        <v>1582</v>
      </c>
    </row>
    <row r="45" spans="1:12" ht="15.75">
      <c r="A45" s="15" t="s">
        <v>35</v>
      </c>
      <c r="B45" s="16"/>
      <c r="C45" s="17">
        <f t="shared" si="4"/>
        <v>1540</v>
      </c>
      <c r="D45" s="18">
        <v>9</v>
      </c>
      <c r="E45" s="18">
        <v>2</v>
      </c>
      <c r="F45" s="18">
        <v>15</v>
      </c>
      <c r="G45" s="18">
        <v>16</v>
      </c>
      <c r="H45" s="20">
        <v>0</v>
      </c>
      <c r="I45" s="20">
        <f t="shared" si="3"/>
        <v>1582</v>
      </c>
    </row>
    <row r="46" spans="1:12" ht="15.75">
      <c r="A46" s="15" t="s">
        <v>36</v>
      </c>
      <c r="B46" s="16"/>
      <c r="C46" s="17">
        <f t="shared" si="4"/>
        <v>1540</v>
      </c>
      <c r="D46" s="18">
        <v>9</v>
      </c>
      <c r="E46" s="18">
        <v>2</v>
      </c>
      <c r="F46" s="18">
        <v>15</v>
      </c>
      <c r="G46" s="18">
        <v>16</v>
      </c>
      <c r="H46" s="20">
        <v>0</v>
      </c>
      <c r="I46" s="20">
        <f t="shared" si="3"/>
        <v>1582</v>
      </c>
    </row>
    <row r="47" spans="1:12" ht="15.75">
      <c r="A47" s="15" t="s">
        <v>37</v>
      </c>
      <c r="B47" s="16"/>
      <c r="C47" s="17">
        <f t="shared" si="4"/>
        <v>1540</v>
      </c>
      <c r="D47" s="18">
        <v>9</v>
      </c>
      <c r="E47" s="18">
        <v>2</v>
      </c>
      <c r="F47" s="18">
        <v>15</v>
      </c>
      <c r="G47" s="18">
        <v>16</v>
      </c>
      <c r="H47" s="20">
        <v>0</v>
      </c>
      <c r="I47" s="20">
        <f t="shared" si="3"/>
        <v>1582</v>
      </c>
    </row>
    <row r="48" spans="1:12" ht="15.75">
      <c r="A48" s="15" t="s">
        <v>38</v>
      </c>
      <c r="B48" s="16"/>
      <c r="C48" s="17">
        <f t="shared" si="4"/>
        <v>1540</v>
      </c>
      <c r="D48" s="18">
        <v>9</v>
      </c>
      <c r="E48" s="18">
        <v>2</v>
      </c>
      <c r="F48" s="18">
        <v>15</v>
      </c>
      <c r="G48" s="18">
        <v>16</v>
      </c>
      <c r="H48" s="20">
        <v>0</v>
      </c>
      <c r="I48" s="20">
        <f t="shared" si="3"/>
        <v>1582</v>
      </c>
    </row>
    <row r="49" spans="1:12" ht="15.75">
      <c r="A49" s="15" t="s">
        <v>39</v>
      </c>
      <c r="B49" s="16"/>
      <c r="C49" s="17">
        <f t="shared" si="4"/>
        <v>1540</v>
      </c>
      <c r="D49" s="18">
        <v>9</v>
      </c>
      <c r="E49" s="18">
        <v>2</v>
      </c>
      <c r="F49" s="18">
        <v>15</v>
      </c>
      <c r="G49" s="18">
        <v>16</v>
      </c>
      <c r="H49" s="19">
        <v>0</v>
      </c>
      <c r="I49" s="20">
        <f t="shared" si="3"/>
        <v>1582</v>
      </c>
    </row>
    <row r="50" spans="1:12" ht="15.75">
      <c r="A50" s="7"/>
      <c r="C50" s="8"/>
      <c r="D50" s="9"/>
      <c r="E50" s="9"/>
      <c r="F50" s="9"/>
      <c r="G50" s="9"/>
      <c r="H50" s="14"/>
      <c r="I50" s="12"/>
    </row>
    <row r="51" spans="1:12" ht="15.75">
      <c r="A51" s="7"/>
      <c r="C51" s="8"/>
      <c r="D51" s="9"/>
      <c r="E51" s="9"/>
      <c r="F51" s="9"/>
      <c r="G51" s="9"/>
      <c r="H51" s="14"/>
      <c r="I51" s="12"/>
    </row>
    <row r="52" spans="1:12" ht="15.75">
      <c r="A52" s="5" t="s">
        <v>16</v>
      </c>
      <c r="C52" s="13"/>
      <c r="D52" s="13"/>
      <c r="E52" s="13"/>
      <c r="F52" s="13"/>
      <c r="G52" s="13"/>
      <c r="H52" s="13"/>
      <c r="I52" s="27"/>
    </row>
    <row r="53" spans="1:12" s="16" customFormat="1" ht="15.75">
      <c r="A53" s="15" t="s">
        <v>40</v>
      </c>
      <c r="C53" s="17">
        <f>1469+8+8</f>
        <v>1485</v>
      </c>
      <c r="D53" s="18">
        <v>9</v>
      </c>
      <c r="E53" s="18">
        <v>2</v>
      </c>
      <c r="F53" s="18">
        <v>15</v>
      </c>
      <c r="G53" s="18">
        <v>16</v>
      </c>
      <c r="H53" s="19">
        <v>0</v>
      </c>
      <c r="I53" s="20">
        <f t="shared" ref="I53:I64" si="5">SUM(C53:H53)</f>
        <v>1527</v>
      </c>
      <c r="L53" s="165"/>
    </row>
    <row r="54" spans="1:12" s="16" customFormat="1" ht="15.75">
      <c r="A54" s="15" t="s">
        <v>19</v>
      </c>
      <c r="C54" s="17">
        <f>1349+8+8</f>
        <v>1365</v>
      </c>
      <c r="D54" s="18">
        <v>9</v>
      </c>
      <c r="E54" s="18">
        <v>2</v>
      </c>
      <c r="F54" s="18">
        <v>15</v>
      </c>
      <c r="G54" s="18">
        <v>16</v>
      </c>
      <c r="H54" s="19"/>
      <c r="I54" s="20">
        <f t="shared" si="5"/>
        <v>1407</v>
      </c>
      <c r="L54" s="165"/>
    </row>
    <row r="55" spans="1:12" s="16" customFormat="1" ht="15.75">
      <c r="A55" s="15" t="s">
        <v>41</v>
      </c>
      <c r="C55" s="17">
        <f>1349+8+8</f>
        <v>1365</v>
      </c>
      <c r="D55" s="18">
        <v>9</v>
      </c>
      <c r="E55" s="18">
        <v>2</v>
      </c>
      <c r="F55" s="18">
        <v>15</v>
      </c>
      <c r="G55" s="18">
        <v>16</v>
      </c>
      <c r="H55" s="19"/>
      <c r="I55" s="20">
        <f t="shared" si="5"/>
        <v>1407</v>
      </c>
      <c r="L55" s="165"/>
    </row>
    <row r="56" spans="1:12" s="16" customFormat="1" ht="15.75">
      <c r="A56" s="15" t="s">
        <v>42</v>
      </c>
      <c r="C56" s="17">
        <f>1382+8+8</f>
        <v>1398</v>
      </c>
      <c r="D56" s="18">
        <v>9</v>
      </c>
      <c r="E56" s="18">
        <v>2</v>
      </c>
      <c r="F56" s="18">
        <v>15</v>
      </c>
      <c r="G56" s="18">
        <v>16</v>
      </c>
      <c r="H56" s="19">
        <v>87</v>
      </c>
      <c r="I56" s="20">
        <f t="shared" si="5"/>
        <v>1527</v>
      </c>
      <c r="L56" s="165"/>
    </row>
    <row r="57" spans="1:12" s="16" customFormat="1" ht="15.75">
      <c r="A57" s="15" t="s">
        <v>43</v>
      </c>
      <c r="C57" s="17">
        <f>1469+8+8</f>
        <v>1485</v>
      </c>
      <c r="D57" s="18">
        <v>9</v>
      </c>
      <c r="E57" s="18">
        <v>2</v>
      </c>
      <c r="F57" s="18">
        <v>15</v>
      </c>
      <c r="G57" s="18">
        <v>16</v>
      </c>
      <c r="H57" s="19">
        <v>0</v>
      </c>
      <c r="I57" s="20">
        <f t="shared" si="5"/>
        <v>1527</v>
      </c>
      <c r="L57" s="165"/>
    </row>
    <row r="58" spans="1:12" s="16" customFormat="1" ht="15.75">
      <c r="A58" s="15" t="s">
        <v>23</v>
      </c>
      <c r="C58" s="17">
        <f>1369+8+8</f>
        <v>1385</v>
      </c>
      <c r="D58" s="18">
        <v>9</v>
      </c>
      <c r="E58" s="18">
        <v>2</v>
      </c>
      <c r="F58" s="18">
        <v>15</v>
      </c>
      <c r="G58" s="18">
        <v>16</v>
      </c>
      <c r="H58" s="19"/>
      <c r="I58" s="20">
        <f t="shared" si="5"/>
        <v>1427</v>
      </c>
      <c r="L58" s="165"/>
    </row>
    <row r="59" spans="1:12" s="16" customFormat="1" ht="15.75">
      <c r="A59" s="15" t="s">
        <v>24</v>
      </c>
      <c r="C59" s="17">
        <f>1369+8+8</f>
        <v>1385</v>
      </c>
      <c r="D59" s="18">
        <v>9</v>
      </c>
      <c r="E59" s="18">
        <v>2</v>
      </c>
      <c r="F59" s="18">
        <v>15</v>
      </c>
      <c r="G59" s="18">
        <v>16</v>
      </c>
      <c r="H59" s="19"/>
      <c r="I59" s="20">
        <f t="shared" si="5"/>
        <v>1427</v>
      </c>
      <c r="L59" s="165"/>
    </row>
    <row r="60" spans="1:12" s="16" customFormat="1" ht="15.75">
      <c r="A60" s="15" t="s">
        <v>25</v>
      </c>
      <c r="C60" s="17">
        <f>1369+8+8</f>
        <v>1385</v>
      </c>
      <c r="D60" s="18">
        <v>9</v>
      </c>
      <c r="E60" s="18">
        <v>2</v>
      </c>
      <c r="F60" s="18">
        <v>15</v>
      </c>
      <c r="G60" s="18">
        <v>16</v>
      </c>
      <c r="H60" s="19"/>
      <c r="I60" s="20">
        <f t="shared" si="5"/>
        <v>1427</v>
      </c>
      <c r="L60" s="165"/>
    </row>
    <row r="61" spans="1:12" ht="15.75">
      <c r="A61" s="15" t="s">
        <v>26</v>
      </c>
      <c r="B61" s="16"/>
      <c r="C61" s="17">
        <f>1369+8+8</f>
        <v>1385</v>
      </c>
      <c r="D61" s="18">
        <v>9</v>
      </c>
      <c r="E61" s="18">
        <v>2</v>
      </c>
      <c r="F61" s="18">
        <v>15</v>
      </c>
      <c r="G61" s="18">
        <v>16</v>
      </c>
      <c r="H61" s="19"/>
      <c r="I61" s="20">
        <f t="shared" si="5"/>
        <v>1427</v>
      </c>
      <c r="J61" s="16"/>
      <c r="K61" s="16"/>
      <c r="L61" s="165"/>
    </row>
    <row r="62" spans="1:12" ht="15.75">
      <c r="A62" s="15" t="s">
        <v>27</v>
      </c>
      <c r="B62" s="16"/>
      <c r="C62" s="17">
        <f>1369+8+8</f>
        <v>1385</v>
      </c>
      <c r="D62" s="18">
        <v>9</v>
      </c>
      <c r="E62" s="18">
        <v>2</v>
      </c>
      <c r="F62" s="18">
        <v>15</v>
      </c>
      <c r="G62" s="18">
        <v>16</v>
      </c>
      <c r="H62" s="19"/>
      <c r="I62" s="20">
        <f t="shared" si="5"/>
        <v>1427</v>
      </c>
      <c r="J62" s="16"/>
      <c r="K62" s="16"/>
      <c r="L62" s="165"/>
    </row>
    <row r="63" spans="1:12" ht="15.75">
      <c r="A63" s="15" t="s">
        <v>28</v>
      </c>
      <c r="B63" s="16"/>
      <c r="C63" s="17">
        <f>1349+8+8</f>
        <v>1365</v>
      </c>
      <c r="D63" s="18">
        <v>9</v>
      </c>
      <c r="E63" s="18">
        <v>2</v>
      </c>
      <c r="F63" s="18">
        <v>15</v>
      </c>
      <c r="G63" s="18">
        <v>16</v>
      </c>
      <c r="H63" s="19"/>
      <c r="I63" s="20">
        <f t="shared" si="5"/>
        <v>1407</v>
      </c>
      <c r="J63" s="16"/>
      <c r="K63" s="16"/>
      <c r="L63" s="165"/>
    </row>
    <row r="64" spans="1:12" ht="15.75">
      <c r="A64" s="150" t="s">
        <v>204</v>
      </c>
      <c r="B64" s="114"/>
      <c r="C64" s="17">
        <f>4050+50+50</f>
        <v>4150</v>
      </c>
      <c r="D64" s="18">
        <v>80</v>
      </c>
      <c r="E64" s="18">
        <v>20</v>
      </c>
      <c r="F64" s="18">
        <v>100</v>
      </c>
      <c r="G64" s="18">
        <v>200</v>
      </c>
      <c r="H64" s="19"/>
      <c r="I64" s="20">
        <f t="shared" si="5"/>
        <v>4550</v>
      </c>
      <c r="J64" s="16"/>
      <c r="K64" s="16"/>
      <c r="L64" s="165"/>
    </row>
    <row r="65" spans="1:12" ht="15.75">
      <c r="B65" s="16"/>
      <c r="C65" s="17"/>
      <c r="D65" s="18"/>
      <c r="E65" s="18"/>
      <c r="F65" s="18"/>
      <c r="G65" s="18"/>
      <c r="H65" s="19"/>
      <c r="I65" s="20"/>
      <c r="J65" s="16"/>
      <c r="K65" s="16"/>
      <c r="L65" s="16"/>
    </row>
    <row r="66" spans="1:12" ht="15.75">
      <c r="B66" s="16"/>
      <c r="C66" s="17"/>
      <c r="D66" s="18"/>
      <c r="E66" s="18"/>
      <c r="F66" s="18"/>
      <c r="G66" s="18"/>
      <c r="H66" s="19"/>
      <c r="I66" s="20"/>
      <c r="J66" s="16"/>
      <c r="K66" s="16"/>
      <c r="L66" s="16"/>
    </row>
    <row r="67" spans="1:12" ht="15.75">
      <c r="B67" s="16"/>
      <c r="C67" s="17"/>
      <c r="D67" s="18"/>
      <c r="E67" s="18"/>
      <c r="F67" s="18"/>
      <c r="G67" s="18"/>
      <c r="H67" s="19"/>
      <c r="I67" s="20"/>
      <c r="J67" s="16"/>
      <c r="K67" s="16"/>
      <c r="L67" s="16"/>
    </row>
    <row r="68" spans="1:12" ht="15.75">
      <c r="B68" s="16"/>
      <c r="C68" s="17"/>
      <c r="D68" s="18"/>
      <c r="E68" s="18"/>
      <c r="F68" s="18"/>
      <c r="G68" s="18"/>
      <c r="H68" s="19"/>
      <c r="I68" s="20"/>
      <c r="J68" s="16"/>
      <c r="K68" s="16"/>
      <c r="L68" s="16"/>
    </row>
    <row r="69" spans="1:12" ht="15.75">
      <c r="A69" s="5" t="s">
        <v>1</v>
      </c>
      <c r="C69" s="13"/>
      <c r="D69" s="13"/>
      <c r="E69" s="13"/>
      <c r="F69" s="13"/>
      <c r="G69" s="13"/>
      <c r="H69" s="13"/>
      <c r="I69" s="20"/>
    </row>
    <row r="70" spans="1:12" ht="15.75">
      <c r="A70" s="22" t="s">
        <v>210</v>
      </c>
      <c r="C70" s="8">
        <f>3080+8+8</f>
        <v>3096</v>
      </c>
      <c r="D70" s="18">
        <v>9</v>
      </c>
      <c r="E70" s="9">
        <v>2</v>
      </c>
      <c r="F70" s="18">
        <v>15</v>
      </c>
      <c r="G70" s="18">
        <v>16</v>
      </c>
      <c r="H70" s="12">
        <v>0</v>
      </c>
      <c r="I70" s="20">
        <f>SUM(C70:H70)</f>
        <v>3138</v>
      </c>
      <c r="L70" s="11"/>
    </row>
    <row r="71" spans="1:12" ht="15.75">
      <c r="A71" s="7"/>
      <c r="C71" s="13"/>
      <c r="D71" s="13"/>
      <c r="E71" s="13"/>
      <c r="F71" s="13"/>
      <c r="G71" s="13"/>
      <c r="H71" s="13"/>
    </row>
    <row r="72" spans="1:12" ht="15.75">
      <c r="A72" s="7"/>
    </row>
    <row r="74" spans="1:12" ht="15.75">
      <c r="A74" s="22"/>
    </row>
    <row r="75" spans="1:12" ht="15.75">
      <c r="A75" s="22"/>
    </row>
    <row r="76" spans="1:12" ht="20.25">
      <c r="A76" s="203" t="s">
        <v>256</v>
      </c>
      <c r="B76" s="203"/>
      <c r="C76" s="203"/>
      <c r="D76" s="203"/>
      <c r="E76" s="203"/>
      <c r="F76" s="203"/>
      <c r="G76" s="203"/>
      <c r="H76" s="203"/>
      <c r="I76" s="203"/>
    </row>
    <row r="77" spans="1:12" ht="23.25">
      <c r="A77" s="206" t="s">
        <v>44</v>
      </c>
      <c r="B77" s="206"/>
      <c r="C77" s="206"/>
      <c r="D77" s="206"/>
      <c r="E77" s="206"/>
      <c r="F77" s="206"/>
      <c r="G77" s="206"/>
      <c r="H77" s="206"/>
      <c r="I77" s="206"/>
    </row>
    <row r="78" spans="1:12" ht="31.5">
      <c r="A78" s="202" t="s">
        <v>1</v>
      </c>
      <c r="B78" s="202"/>
      <c r="C78" s="1" t="s">
        <v>2</v>
      </c>
      <c r="D78" s="2" t="s">
        <v>3</v>
      </c>
      <c r="E78" s="3" t="s">
        <v>4</v>
      </c>
      <c r="F78" s="3" t="s">
        <v>274</v>
      </c>
      <c r="G78" s="3" t="s">
        <v>201</v>
      </c>
      <c r="H78" s="3" t="s">
        <v>5</v>
      </c>
      <c r="I78" s="118" t="s">
        <v>6</v>
      </c>
    </row>
    <row r="79" spans="1:12" ht="15.75">
      <c r="A79" s="24"/>
      <c r="B79" s="25"/>
      <c r="C79" s="23" t="s">
        <v>8</v>
      </c>
      <c r="D79" s="23" t="s">
        <v>8</v>
      </c>
      <c r="E79" s="23" t="s">
        <v>8</v>
      </c>
      <c r="F79" s="6" t="s">
        <v>8</v>
      </c>
      <c r="G79" s="6" t="s">
        <v>8</v>
      </c>
      <c r="H79" s="23" t="s">
        <v>8</v>
      </c>
      <c r="I79" s="120" t="s">
        <v>8</v>
      </c>
    </row>
    <row r="80" spans="1:12" ht="15.75">
      <c r="A80" s="22" t="s">
        <v>7</v>
      </c>
      <c r="C80" s="132">
        <f>(2078*1.05)+50+50</f>
        <v>2281.9</v>
      </c>
      <c r="D80" s="27">
        <v>80</v>
      </c>
      <c r="E80" s="27">
        <v>20</v>
      </c>
      <c r="F80" s="27">
        <v>0</v>
      </c>
      <c r="G80" s="27">
        <v>200</v>
      </c>
      <c r="H80" s="27">
        <v>0</v>
      </c>
      <c r="I80" s="147">
        <f>SUM(C80:H80)</f>
        <v>2581.9</v>
      </c>
      <c r="L80" s="146"/>
    </row>
    <row r="81" spans="1:12" ht="15.75">
      <c r="A81" s="22" t="s">
        <v>174</v>
      </c>
      <c r="C81" s="132">
        <f>(1802*1.05)+50+50</f>
        <v>1992.1000000000001</v>
      </c>
      <c r="D81" s="29">
        <v>80</v>
      </c>
      <c r="E81" s="27">
        <v>20</v>
      </c>
      <c r="F81" s="29">
        <v>0</v>
      </c>
      <c r="G81" s="29">
        <v>200</v>
      </c>
      <c r="H81" s="28">
        <v>0</v>
      </c>
      <c r="I81" s="148">
        <f>SUM(C81:H81)</f>
        <v>2292.1000000000004</v>
      </c>
      <c r="L81" s="146"/>
    </row>
    <row r="82" spans="1:12" ht="15.75">
      <c r="A82" s="7"/>
      <c r="C82" s="26"/>
      <c r="D82" s="29"/>
      <c r="E82" s="13"/>
      <c r="F82" s="29"/>
      <c r="G82" s="29"/>
      <c r="H82" s="28"/>
    </row>
    <row r="83" spans="1:12" ht="15.75">
      <c r="A83" s="7"/>
      <c r="C83" s="26"/>
      <c r="D83" s="29"/>
      <c r="E83" s="13"/>
      <c r="F83" s="29"/>
      <c r="G83" s="29"/>
      <c r="H83" s="28"/>
    </row>
    <row r="84" spans="1:12" ht="15.75">
      <c r="A84" s="7"/>
      <c r="C84" s="31"/>
    </row>
    <row r="85" spans="1:12" ht="15.75">
      <c r="A85" s="7"/>
      <c r="C85" s="31"/>
    </row>
    <row r="86" spans="1:12" ht="15.75">
      <c r="A86" s="7"/>
      <c r="C86" s="31"/>
    </row>
    <row r="87" spans="1:12" ht="20.25">
      <c r="A87" s="203" t="s">
        <v>256</v>
      </c>
      <c r="B87" s="203"/>
      <c r="C87" s="203"/>
      <c r="D87" s="203"/>
      <c r="E87" s="203"/>
      <c r="F87" s="203"/>
      <c r="G87" s="203"/>
      <c r="H87" s="203"/>
      <c r="I87" s="203"/>
    </row>
    <row r="88" spans="1:12" ht="20.25">
      <c r="A88" s="203" t="s">
        <v>47</v>
      </c>
      <c r="B88" s="203"/>
      <c r="C88" s="203"/>
      <c r="D88" s="203"/>
      <c r="E88" s="203"/>
      <c r="F88" s="203"/>
      <c r="G88" s="203"/>
      <c r="H88" s="203"/>
      <c r="I88" s="203"/>
    </row>
    <row r="89" spans="1:12" ht="31.5">
      <c r="A89" s="202" t="s">
        <v>1</v>
      </c>
      <c r="B89" s="202"/>
      <c r="C89" s="1" t="s">
        <v>2</v>
      </c>
      <c r="D89" s="2" t="s">
        <v>3</v>
      </c>
      <c r="E89" s="3" t="s">
        <v>4</v>
      </c>
      <c r="F89" s="3" t="s">
        <v>274</v>
      </c>
      <c r="G89" s="3" t="s">
        <v>201</v>
      </c>
      <c r="H89" s="3" t="s">
        <v>5</v>
      </c>
      <c r="I89" s="118" t="s">
        <v>6</v>
      </c>
    </row>
    <row r="90" spans="1:12" ht="15.75">
      <c r="A90" s="24"/>
      <c r="B90" s="25"/>
      <c r="C90" s="23" t="s">
        <v>8</v>
      </c>
      <c r="D90" s="23" t="s">
        <v>8</v>
      </c>
      <c r="E90" s="23" t="s">
        <v>8</v>
      </c>
      <c r="F90" s="6" t="s">
        <v>8</v>
      </c>
      <c r="G90" s="6" t="s">
        <v>8</v>
      </c>
      <c r="H90" s="23" t="s">
        <v>8</v>
      </c>
      <c r="I90" s="120" t="s">
        <v>8</v>
      </c>
    </row>
    <row r="91" spans="1:12" ht="15.75">
      <c r="A91" s="22" t="s">
        <v>7</v>
      </c>
      <c r="C91" s="132">
        <f>(1484*1.05)+50+50</f>
        <v>1658.2</v>
      </c>
      <c r="D91" s="132">
        <v>80</v>
      </c>
      <c r="E91" s="132">
        <v>20</v>
      </c>
      <c r="F91" s="160">
        <v>100</v>
      </c>
      <c r="G91" s="160">
        <v>200</v>
      </c>
      <c r="H91" s="161">
        <v>0</v>
      </c>
      <c r="I91" s="132">
        <f>SUM(C91:H91)</f>
        <v>2058.1999999999998</v>
      </c>
      <c r="L91" s="146"/>
    </row>
    <row r="95" spans="1:12" ht="20.25">
      <c r="A95" s="203" t="s">
        <v>257</v>
      </c>
      <c r="B95" s="203"/>
      <c r="C95" s="203"/>
      <c r="D95" s="203"/>
      <c r="E95" s="203"/>
      <c r="F95" s="203"/>
      <c r="G95" s="203"/>
      <c r="H95" s="203"/>
    </row>
    <row r="96" spans="1:12" ht="18.75">
      <c r="A96" s="205" t="s">
        <v>48</v>
      </c>
      <c r="B96" s="205"/>
      <c r="C96" s="205"/>
      <c r="D96" s="205"/>
      <c r="E96" s="205"/>
      <c r="F96" s="205"/>
      <c r="G96" s="205"/>
      <c r="H96" s="205"/>
    </row>
    <row r="97" spans="1:11" ht="31.5">
      <c r="A97" s="209" t="s">
        <v>1</v>
      </c>
      <c r="B97" s="209"/>
      <c r="C97" s="1" t="s">
        <v>2</v>
      </c>
      <c r="D97" s="2" t="s">
        <v>3</v>
      </c>
      <c r="E97" s="3" t="s">
        <v>4</v>
      </c>
      <c r="F97" s="3" t="s">
        <v>274</v>
      </c>
      <c r="G97" s="3" t="s">
        <v>201</v>
      </c>
      <c r="H97" s="4" t="s">
        <v>6</v>
      </c>
      <c r="I97" s="4"/>
    </row>
    <row r="98" spans="1:11" ht="15.75">
      <c r="A98" s="24"/>
      <c r="B98" s="25"/>
      <c r="C98" s="23" t="s">
        <v>32</v>
      </c>
      <c r="D98" s="23" t="s">
        <v>32</v>
      </c>
      <c r="E98" s="23" t="s">
        <v>32</v>
      </c>
      <c r="F98" s="23" t="s">
        <v>32</v>
      </c>
      <c r="G98" s="23" t="s">
        <v>32</v>
      </c>
      <c r="H98" s="23" t="s">
        <v>32</v>
      </c>
    </row>
    <row r="99" spans="1:11" ht="15.75">
      <c r="A99" s="22" t="s">
        <v>7</v>
      </c>
      <c r="C99" s="26">
        <f>439+8+8</f>
        <v>455</v>
      </c>
      <c r="D99" s="26">
        <v>9</v>
      </c>
      <c r="E99" s="26">
        <v>2</v>
      </c>
      <c r="F99" s="31">
        <v>15</v>
      </c>
      <c r="G99" s="31">
        <v>16</v>
      </c>
      <c r="H99" s="26">
        <f>SUM(C99:G99)</f>
        <v>497</v>
      </c>
      <c r="K99" s="115"/>
    </row>
    <row r="108" spans="1:11" ht="26.25">
      <c r="A108" s="207" t="s">
        <v>187</v>
      </c>
      <c r="B108" s="207"/>
      <c r="C108" s="207"/>
      <c r="D108" s="207"/>
      <c r="E108" s="207"/>
      <c r="F108" s="124"/>
      <c r="G108" s="124"/>
    </row>
    <row r="109" spans="1:11" ht="18.75">
      <c r="A109" s="205" t="s">
        <v>255</v>
      </c>
      <c r="B109" s="205"/>
      <c r="C109" s="205"/>
      <c r="D109" s="205"/>
      <c r="E109" s="205"/>
      <c r="F109" s="92"/>
      <c r="G109" s="92"/>
    </row>
    <row r="110" spans="1:11" ht="21">
      <c r="A110" s="208" t="s">
        <v>85</v>
      </c>
      <c r="B110" s="208"/>
      <c r="C110" s="208"/>
      <c r="D110" s="208"/>
      <c r="E110" s="208"/>
      <c r="F110" s="112"/>
      <c r="G110" s="112"/>
    </row>
    <row r="111" spans="1:11" ht="31.5">
      <c r="A111" s="112"/>
      <c r="B111" s="112"/>
      <c r="C111" s="1" t="s">
        <v>2</v>
      </c>
      <c r="D111" s="3" t="s">
        <v>286</v>
      </c>
      <c r="E111" s="3" t="s">
        <v>57</v>
      </c>
      <c r="F111" s="3" t="s">
        <v>274</v>
      </c>
      <c r="G111" s="3" t="s">
        <v>201</v>
      </c>
      <c r="H111" s="4" t="s">
        <v>6</v>
      </c>
      <c r="I111"/>
      <c r="J111" s="10"/>
    </row>
    <row r="112" spans="1:11" ht="21">
      <c r="A112" s="112"/>
      <c r="B112" s="112"/>
      <c r="C112" s="33" t="s">
        <v>8</v>
      </c>
      <c r="D112" s="33" t="s">
        <v>8</v>
      </c>
      <c r="E112" s="33"/>
      <c r="F112" s="33" t="s">
        <v>8</v>
      </c>
      <c r="G112" s="33" t="s">
        <v>8</v>
      </c>
      <c r="H112" s="33" t="s">
        <v>8</v>
      </c>
      <c r="I112"/>
      <c r="J112" s="10"/>
    </row>
    <row r="113" spans="1:11">
      <c r="A113" t="s">
        <v>294</v>
      </c>
      <c r="C113" s="128">
        <f>(2809*1.05)+50+50</f>
        <v>3049.4500000000003</v>
      </c>
      <c r="D113">
        <v>80</v>
      </c>
      <c r="E113">
        <v>20</v>
      </c>
      <c r="F113">
        <v>100</v>
      </c>
      <c r="G113">
        <v>200</v>
      </c>
      <c r="H113" s="159">
        <f>SUM(C113:G113)</f>
        <v>3449.4500000000003</v>
      </c>
      <c r="I113"/>
      <c r="J113" s="10"/>
      <c r="K113" s="146"/>
    </row>
    <row r="114" spans="1:11">
      <c r="A114" t="s">
        <v>186</v>
      </c>
      <c r="C114" s="128">
        <f>(2809*1.05)+50+50</f>
        <v>3049.4500000000003</v>
      </c>
      <c r="D114">
        <v>80</v>
      </c>
      <c r="E114">
        <v>20</v>
      </c>
      <c r="F114">
        <v>100</v>
      </c>
      <c r="G114">
        <v>200</v>
      </c>
      <c r="H114" s="159">
        <f>SUM(C114:G114)</f>
        <v>3449.4500000000003</v>
      </c>
      <c r="I114"/>
      <c r="J114" s="10"/>
      <c r="K114" s="146"/>
    </row>
    <row r="118" spans="1:11" ht="18.75">
      <c r="A118" s="204" t="s">
        <v>188</v>
      </c>
      <c r="B118" s="204"/>
      <c r="C118" s="204"/>
      <c r="D118" s="204"/>
      <c r="E118" s="204"/>
      <c r="F118" s="125"/>
      <c r="G118" s="125"/>
    </row>
    <row r="119" spans="1:11" ht="42.75">
      <c r="C119" s="122" t="s">
        <v>2</v>
      </c>
      <c r="D119" s="2" t="s">
        <v>3</v>
      </c>
      <c r="E119" s="3" t="s">
        <v>4</v>
      </c>
      <c r="F119" s="3" t="s">
        <v>249</v>
      </c>
      <c r="G119" s="3" t="s">
        <v>249</v>
      </c>
      <c r="H119" s="118" t="s">
        <v>6</v>
      </c>
    </row>
    <row r="120" spans="1:11" ht="18.75">
      <c r="C120" s="123" t="s">
        <v>32</v>
      </c>
      <c r="D120" s="23" t="s">
        <v>32</v>
      </c>
      <c r="E120" s="23" t="s">
        <v>32</v>
      </c>
      <c r="F120" s="123" t="s">
        <v>32</v>
      </c>
      <c r="G120" s="123" t="s">
        <v>32</v>
      </c>
      <c r="H120" s="123" t="s">
        <v>32</v>
      </c>
    </row>
    <row r="121" spans="1:11">
      <c r="A121" t="s">
        <v>185</v>
      </c>
      <c r="C121" s="128">
        <f>430+8+8</f>
        <v>446</v>
      </c>
      <c r="D121" s="132">
        <v>9</v>
      </c>
      <c r="E121" s="132">
        <v>2</v>
      </c>
      <c r="F121" s="128">
        <v>15</v>
      </c>
      <c r="G121" s="128">
        <v>16</v>
      </c>
      <c r="H121" s="148">
        <f>SUM(C121:G121)</f>
        <v>488</v>
      </c>
    </row>
    <row r="122" spans="1:11">
      <c r="A122" t="s">
        <v>186</v>
      </c>
      <c r="C122" s="128">
        <f>430+8+8</f>
        <v>446</v>
      </c>
      <c r="D122" s="128">
        <v>9</v>
      </c>
      <c r="E122" s="128">
        <v>2</v>
      </c>
      <c r="F122" s="128">
        <v>15</v>
      </c>
      <c r="G122" s="128">
        <v>16</v>
      </c>
      <c r="H122" s="148">
        <f>SUM(C122:G122)</f>
        <v>488</v>
      </c>
    </row>
  </sheetData>
  <mergeCells count="20">
    <mergeCell ref="A118:E118"/>
    <mergeCell ref="A109:E109"/>
    <mergeCell ref="A41:B41"/>
    <mergeCell ref="A76:I76"/>
    <mergeCell ref="A77:I77"/>
    <mergeCell ref="A87:I87"/>
    <mergeCell ref="A88:I88"/>
    <mergeCell ref="A95:H95"/>
    <mergeCell ref="A96:H96"/>
    <mergeCell ref="A78:B78"/>
    <mergeCell ref="A108:E108"/>
    <mergeCell ref="A110:E110"/>
    <mergeCell ref="A89:B89"/>
    <mergeCell ref="A97:B97"/>
    <mergeCell ref="A3:B3"/>
    <mergeCell ref="A1:I1"/>
    <mergeCell ref="A2:I2"/>
    <mergeCell ref="A39:I39"/>
    <mergeCell ref="A40:I40"/>
    <mergeCell ref="A31:B31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CE05-8C1D-4C5C-B13A-C905F6A8CD70}">
  <dimension ref="A1:R92"/>
  <sheetViews>
    <sheetView topLeftCell="A31" workbookViewId="0">
      <selection activeCell="A36" sqref="A36:XFD36"/>
    </sheetView>
  </sheetViews>
  <sheetFormatPr defaultRowHeight="15"/>
  <cols>
    <col min="1" max="1" width="35.42578125" customWidth="1"/>
    <col min="2" max="2" width="12.5703125" style="10" customWidth="1"/>
    <col min="3" max="3" width="15" bestFit="1" customWidth="1"/>
    <col min="4" max="5" width="14.42578125" customWidth="1"/>
    <col min="6" max="6" width="11.140625" customWidth="1"/>
    <col min="7" max="7" width="11.5703125" style="32" customWidth="1"/>
    <col min="8" max="8" width="11.5703125" customWidth="1"/>
    <col min="9" max="9" width="13.7109375" customWidth="1"/>
    <col min="10" max="10" width="10.7109375" customWidth="1"/>
    <col min="11" max="11" width="12" customWidth="1"/>
    <col min="12" max="12" width="15" bestFit="1" customWidth="1"/>
    <col min="13" max="13" width="15.7109375" customWidth="1"/>
    <col min="14" max="15" width="12.7109375" customWidth="1"/>
    <col min="16" max="16" width="9.7109375" style="32" customWidth="1"/>
    <col min="17" max="17" width="9.42578125" customWidth="1"/>
    <col min="18" max="18" width="11" customWidth="1"/>
  </cols>
  <sheetData>
    <row r="1" spans="1:14" ht="33.75" customHeight="1">
      <c r="A1" s="227" t="s">
        <v>268</v>
      </c>
      <c r="B1" s="227"/>
      <c r="C1" s="227"/>
      <c r="D1" s="227"/>
      <c r="E1" s="227"/>
      <c r="F1" s="227"/>
      <c r="G1" s="227"/>
    </row>
    <row r="2" spans="1:14" ht="18.75">
      <c r="A2" s="204" t="s">
        <v>82</v>
      </c>
      <c r="B2" s="204"/>
      <c r="C2" s="204"/>
      <c r="D2" s="204"/>
      <c r="E2" s="204"/>
      <c r="F2" s="204"/>
      <c r="G2" s="204"/>
    </row>
    <row r="3" spans="1:14" ht="23.25">
      <c r="A3" s="228" t="s">
        <v>83</v>
      </c>
      <c r="B3" s="228"/>
      <c r="C3" s="228"/>
      <c r="D3" s="228"/>
      <c r="E3" s="228"/>
      <c r="F3" s="228"/>
      <c r="G3" s="228"/>
      <c r="H3" s="21"/>
    </row>
    <row r="4" spans="1:14" ht="36.75">
      <c r="A4" s="32" t="s">
        <v>1</v>
      </c>
      <c r="B4" s="83" t="s">
        <v>2</v>
      </c>
      <c r="C4" s="80" t="s">
        <v>46</v>
      </c>
      <c r="D4" s="3" t="s">
        <v>274</v>
      </c>
      <c r="E4" s="60" t="s">
        <v>201</v>
      </c>
      <c r="F4" s="80" t="s">
        <v>6</v>
      </c>
      <c r="G4" s="116" t="s">
        <v>84</v>
      </c>
      <c r="H4" s="21"/>
    </row>
    <row r="5" spans="1:14" ht="15.75">
      <c r="A5" s="32" t="s">
        <v>85</v>
      </c>
      <c r="B5" s="99" t="s">
        <v>8</v>
      </c>
      <c r="C5" s="100" t="s">
        <v>8</v>
      </c>
      <c r="D5" s="101" t="s">
        <v>8</v>
      </c>
      <c r="E5" s="101" t="s">
        <v>8</v>
      </c>
      <c r="F5" s="100" t="s">
        <v>8</v>
      </c>
      <c r="G5" s="151" t="s">
        <v>8</v>
      </c>
      <c r="H5" s="21" t="s">
        <v>209</v>
      </c>
    </row>
    <row r="6" spans="1:14">
      <c r="A6" t="s">
        <v>86</v>
      </c>
      <c r="B6" s="181">
        <f>(19448.88*1.05)+200</f>
        <v>20621.324000000001</v>
      </c>
      <c r="C6" s="10">
        <v>400</v>
      </c>
      <c r="D6" s="10">
        <v>400</v>
      </c>
      <c r="E6" s="10">
        <v>200</v>
      </c>
      <c r="F6" s="142">
        <f t="shared" ref="F6:F22" si="0">SUM(B6:E6)</f>
        <v>21621.324000000001</v>
      </c>
      <c r="G6" s="144">
        <f>(B6+C6+D6)/4+E6</f>
        <v>5555.3310000000001</v>
      </c>
      <c r="H6" s="32" t="s">
        <v>275</v>
      </c>
      <c r="I6" s="10"/>
      <c r="J6" s="146"/>
      <c r="K6" s="10"/>
      <c r="L6" s="115"/>
    </row>
    <row r="7" spans="1:14">
      <c r="A7" t="s">
        <v>87</v>
      </c>
      <c r="B7" s="181">
        <f>(17503.992*1.05)+200</f>
        <v>18579.191599999998</v>
      </c>
      <c r="C7" s="10">
        <v>400</v>
      </c>
      <c r="D7" s="10">
        <v>400</v>
      </c>
      <c r="E7" s="10">
        <v>200</v>
      </c>
      <c r="F7" s="142">
        <f t="shared" si="0"/>
        <v>19579.191599999998</v>
      </c>
      <c r="G7" s="144">
        <f t="shared" ref="G7:G18" si="1">(B7+C7+D7)/4+E7</f>
        <v>5044.7978999999996</v>
      </c>
      <c r="I7" s="10"/>
      <c r="J7" s="146"/>
      <c r="K7" s="10"/>
      <c r="M7" s="10"/>
      <c r="N7" s="10"/>
    </row>
    <row r="8" spans="1:14">
      <c r="A8" s="37" t="s">
        <v>88</v>
      </c>
      <c r="B8" s="181">
        <f>(21306*1.05)+200</f>
        <v>22571.3</v>
      </c>
      <c r="C8" s="10">
        <v>400</v>
      </c>
      <c r="D8" s="10">
        <v>400</v>
      </c>
      <c r="E8" s="10">
        <v>200</v>
      </c>
      <c r="F8" s="142">
        <f t="shared" si="0"/>
        <v>23571.3</v>
      </c>
      <c r="G8" s="144">
        <f t="shared" si="1"/>
        <v>6042.8249999999998</v>
      </c>
      <c r="I8" s="10"/>
      <c r="J8" s="146"/>
      <c r="K8" s="89"/>
      <c r="M8" s="10"/>
      <c r="N8" s="10"/>
    </row>
    <row r="9" spans="1:14">
      <c r="A9" s="37" t="s">
        <v>89</v>
      </c>
      <c r="B9" s="181">
        <f>(19175.4*1.05)+200</f>
        <v>20334.170000000002</v>
      </c>
      <c r="C9" s="10">
        <v>400</v>
      </c>
      <c r="D9" s="10">
        <v>400</v>
      </c>
      <c r="E9" s="10">
        <v>200</v>
      </c>
      <c r="F9" s="142">
        <f t="shared" si="0"/>
        <v>21334.170000000002</v>
      </c>
      <c r="G9" s="144">
        <f t="shared" si="1"/>
        <v>5483.5425000000005</v>
      </c>
      <c r="I9" s="10"/>
      <c r="J9" s="146"/>
      <c r="K9" s="89"/>
      <c r="M9" s="10"/>
      <c r="N9" s="10"/>
    </row>
    <row r="10" spans="1:14">
      <c r="A10" s="37" t="s">
        <v>90</v>
      </c>
      <c r="B10" s="181">
        <f>(10653*1.05)+100</f>
        <v>11285.65</v>
      </c>
      <c r="C10" s="89">
        <v>200</v>
      </c>
      <c r="D10" s="10">
        <v>200</v>
      </c>
      <c r="E10" s="10">
        <v>200</v>
      </c>
      <c r="F10" s="142">
        <f t="shared" si="0"/>
        <v>11885.65</v>
      </c>
      <c r="G10" s="144">
        <f>(B10+C10+D10)/2+E10</f>
        <v>6042.8249999999998</v>
      </c>
      <c r="H10" s="115"/>
      <c r="I10" s="10"/>
      <c r="J10" s="146"/>
      <c r="K10" s="89"/>
      <c r="M10" s="10"/>
      <c r="N10" s="10"/>
    </row>
    <row r="11" spans="1:14">
      <c r="A11" s="37" t="s">
        <v>91</v>
      </c>
      <c r="B11" s="181">
        <f>(9587.7*1.05)+100</f>
        <v>10167.085000000001</v>
      </c>
      <c r="C11" s="89">
        <v>200</v>
      </c>
      <c r="D11" s="10">
        <v>200</v>
      </c>
      <c r="E11" s="10">
        <v>200</v>
      </c>
      <c r="F11" s="142">
        <f t="shared" si="0"/>
        <v>10767.085000000001</v>
      </c>
      <c r="G11" s="144">
        <f>(B11+C11+D11)/2+E11</f>
        <v>5483.5425000000005</v>
      </c>
      <c r="I11" s="10"/>
      <c r="J11" s="146"/>
      <c r="K11" s="38"/>
      <c r="M11" s="10"/>
      <c r="N11" s="10"/>
    </row>
    <row r="12" spans="1:14">
      <c r="A12" t="s">
        <v>92</v>
      </c>
      <c r="B12" s="181">
        <f>(9185.96*1.05)+100</f>
        <v>9745.2579999999998</v>
      </c>
      <c r="C12" s="89">
        <v>200</v>
      </c>
      <c r="D12" s="10">
        <v>200</v>
      </c>
      <c r="E12" s="10">
        <v>200</v>
      </c>
      <c r="F12" s="142">
        <f t="shared" si="0"/>
        <v>10345.258</v>
      </c>
      <c r="G12" s="144">
        <f>(B12+C12+D12)/2+E12</f>
        <v>5272.6289999999999</v>
      </c>
      <c r="I12" s="10"/>
      <c r="J12" s="146"/>
      <c r="K12" s="10"/>
      <c r="M12" s="10"/>
      <c r="N12" s="10"/>
    </row>
    <row r="13" spans="1:14">
      <c r="A13" t="s">
        <v>93</v>
      </c>
      <c r="B13" s="181">
        <f>(8267.364*1.05)+100</f>
        <v>8780.7322000000004</v>
      </c>
      <c r="C13" s="89">
        <v>200</v>
      </c>
      <c r="D13" s="10">
        <v>200</v>
      </c>
      <c r="E13" s="10">
        <v>200</v>
      </c>
      <c r="F13" s="142">
        <f t="shared" si="0"/>
        <v>9380.7322000000004</v>
      </c>
      <c r="G13" s="144">
        <f>(B13+C13+D13)/2+E13</f>
        <v>4790.3661000000002</v>
      </c>
      <c r="I13" s="10"/>
      <c r="J13" s="146"/>
      <c r="K13" s="10"/>
      <c r="M13" s="10"/>
      <c r="N13" s="10"/>
    </row>
    <row r="14" spans="1:14">
      <c r="A14" t="s">
        <v>191</v>
      </c>
      <c r="B14" s="181">
        <f>(18346.48*1.05)+200</f>
        <v>19463.804</v>
      </c>
      <c r="C14" s="10">
        <v>400</v>
      </c>
      <c r="D14" s="10">
        <v>400</v>
      </c>
      <c r="E14" s="10">
        <v>200</v>
      </c>
      <c r="F14" s="142">
        <f t="shared" si="0"/>
        <v>20463.804</v>
      </c>
      <c r="G14" s="144">
        <f t="shared" si="1"/>
        <v>5265.951</v>
      </c>
      <c r="I14" s="10"/>
      <c r="J14" s="146"/>
      <c r="K14" s="10"/>
      <c r="M14" s="10"/>
      <c r="N14" s="10"/>
    </row>
    <row r="15" spans="1:14">
      <c r="A15" t="s">
        <v>95</v>
      </c>
      <c r="B15" s="181">
        <f>(16511.832*1.05)+200</f>
        <v>17537.423599999998</v>
      </c>
      <c r="C15" s="10">
        <v>400</v>
      </c>
      <c r="D15" s="10">
        <v>400</v>
      </c>
      <c r="E15" s="10">
        <v>200</v>
      </c>
      <c r="F15" s="142">
        <f t="shared" si="0"/>
        <v>18537.423599999998</v>
      </c>
      <c r="G15" s="144">
        <f t="shared" si="1"/>
        <v>4784.3558999999996</v>
      </c>
      <c r="I15" s="10"/>
      <c r="J15" s="146"/>
      <c r="K15" s="10"/>
      <c r="M15" s="10"/>
      <c r="N15" s="10"/>
    </row>
    <row r="16" spans="1:14">
      <c r="A16" t="s">
        <v>96</v>
      </c>
      <c r="B16" s="181">
        <f>(19448.88*1.05)+200</f>
        <v>20621.324000000001</v>
      </c>
      <c r="C16" s="10">
        <v>400</v>
      </c>
      <c r="D16" s="10">
        <v>400</v>
      </c>
      <c r="E16" s="10">
        <v>200</v>
      </c>
      <c r="F16" s="142">
        <f t="shared" si="0"/>
        <v>21621.324000000001</v>
      </c>
      <c r="G16" s="144">
        <f t="shared" si="1"/>
        <v>5555.3310000000001</v>
      </c>
      <c r="I16" s="10"/>
      <c r="J16" s="146"/>
      <c r="K16" s="10"/>
      <c r="M16" s="10"/>
      <c r="N16" s="10"/>
    </row>
    <row r="17" spans="1:14">
      <c r="A17" t="s">
        <v>97</v>
      </c>
      <c r="B17" s="181">
        <f>(17503.992*1.05)+200</f>
        <v>18579.191599999998</v>
      </c>
      <c r="C17" s="10">
        <v>400</v>
      </c>
      <c r="D17" s="10">
        <v>400</v>
      </c>
      <c r="E17" s="10">
        <v>200</v>
      </c>
      <c r="F17" s="142">
        <f t="shared" si="0"/>
        <v>19579.191599999998</v>
      </c>
      <c r="G17" s="144">
        <f t="shared" si="1"/>
        <v>5044.7978999999996</v>
      </c>
      <c r="I17" s="10"/>
      <c r="J17" s="146"/>
      <c r="K17" s="10"/>
      <c r="M17" s="10"/>
      <c r="N17" s="10"/>
    </row>
    <row r="18" spans="1:14">
      <c r="A18" s="37" t="s">
        <v>167</v>
      </c>
      <c r="B18" s="181">
        <f>(14310*1.05)+200</f>
        <v>15225.5</v>
      </c>
      <c r="C18" s="10">
        <v>400</v>
      </c>
      <c r="D18" s="10">
        <v>400</v>
      </c>
      <c r="E18" s="10">
        <v>200</v>
      </c>
      <c r="F18" s="142">
        <f t="shared" si="0"/>
        <v>16225.5</v>
      </c>
      <c r="G18" s="144">
        <f t="shared" si="1"/>
        <v>4206.375</v>
      </c>
      <c r="I18" s="10"/>
      <c r="J18" s="146"/>
      <c r="K18" s="10"/>
      <c r="M18" s="10"/>
      <c r="N18" s="10"/>
    </row>
    <row r="19" spans="1:14">
      <c r="A19" t="s">
        <v>170</v>
      </c>
      <c r="B19" s="181">
        <f>(6360*1.05)+100</f>
        <v>6778</v>
      </c>
      <c r="C19" s="89">
        <v>200</v>
      </c>
      <c r="D19" s="10">
        <v>200</v>
      </c>
      <c r="E19" s="10">
        <v>200</v>
      </c>
      <c r="F19" s="142">
        <f t="shared" si="0"/>
        <v>7378</v>
      </c>
      <c r="G19" s="144">
        <f>(B19+C19+D19)/2+E19</f>
        <v>3789</v>
      </c>
      <c r="I19" s="10"/>
      <c r="J19" s="146"/>
      <c r="K19" s="10"/>
      <c r="M19" s="10"/>
      <c r="N19" s="10"/>
    </row>
    <row r="20" spans="1:14">
      <c r="A20" t="s">
        <v>168</v>
      </c>
      <c r="B20" s="181">
        <f>(8268*1.05)+100</f>
        <v>8781.4</v>
      </c>
      <c r="C20" s="89">
        <v>200</v>
      </c>
      <c r="D20" s="10">
        <v>200</v>
      </c>
      <c r="E20" s="10">
        <v>200</v>
      </c>
      <c r="F20" s="142">
        <f t="shared" si="0"/>
        <v>9381.4</v>
      </c>
      <c r="G20" s="144">
        <f>(B20+C20+D20)/2+E20</f>
        <v>4790.7</v>
      </c>
      <c r="I20" s="10"/>
      <c r="J20" s="146"/>
      <c r="K20" s="10"/>
      <c r="M20" s="10"/>
      <c r="N20" s="10"/>
    </row>
    <row r="21" spans="1:14">
      <c r="A21" t="s">
        <v>171</v>
      </c>
      <c r="B21" s="181">
        <f>(14310*1.05)+150</f>
        <v>15175.5</v>
      </c>
      <c r="C21" s="10">
        <v>300</v>
      </c>
      <c r="D21" s="10">
        <v>300</v>
      </c>
      <c r="E21" s="10">
        <v>200</v>
      </c>
      <c r="F21" s="142">
        <f t="shared" si="0"/>
        <v>15975.5</v>
      </c>
      <c r="G21" s="144">
        <f>(B21+C21+D21)/3+E21</f>
        <v>5458.5</v>
      </c>
      <c r="I21" s="10"/>
      <c r="J21" s="146"/>
      <c r="K21" s="10"/>
      <c r="M21" s="10"/>
      <c r="N21" s="10"/>
    </row>
    <row r="22" spans="1:14">
      <c r="A22" t="s">
        <v>169</v>
      </c>
      <c r="B22" s="181">
        <f>(6890*1.05)+100</f>
        <v>7334.5</v>
      </c>
      <c r="C22" s="89">
        <v>200</v>
      </c>
      <c r="D22" s="10">
        <v>200</v>
      </c>
      <c r="E22" s="10">
        <v>200</v>
      </c>
      <c r="F22" s="142">
        <f t="shared" si="0"/>
        <v>7934.5</v>
      </c>
      <c r="G22" s="144">
        <f>(B22+C22+D22)/2+E22</f>
        <v>4067.25</v>
      </c>
      <c r="I22" s="10"/>
      <c r="J22" s="146"/>
      <c r="K22" s="10"/>
      <c r="M22" s="10"/>
      <c r="N22" s="10"/>
    </row>
    <row r="23" spans="1:14">
      <c r="B23" s="181"/>
      <c r="C23" s="10"/>
      <c r="D23" s="10"/>
      <c r="E23" s="10"/>
      <c r="F23" s="142"/>
      <c r="G23" s="144"/>
      <c r="K23" s="10"/>
    </row>
    <row r="24" spans="1:14">
      <c r="A24" t="s">
        <v>199</v>
      </c>
      <c r="B24" s="128">
        <f>(11448*1.05)+50</f>
        <v>12070.4</v>
      </c>
      <c r="C24" s="10">
        <v>100</v>
      </c>
      <c r="D24" s="10">
        <v>100</v>
      </c>
      <c r="E24" s="10">
        <v>200</v>
      </c>
      <c r="F24" s="143">
        <f t="shared" ref="F24:F37" si="2">SUM(B24:E24)</f>
        <v>12470.4</v>
      </c>
      <c r="G24" s="144" t="s">
        <v>177</v>
      </c>
      <c r="K24" s="10"/>
    </row>
    <row r="25" spans="1:14">
      <c r="A25" t="s">
        <v>200</v>
      </c>
      <c r="B25" s="128">
        <f>(3816*1.05)+50</f>
        <v>4056.8</v>
      </c>
      <c r="C25" s="10">
        <v>100</v>
      </c>
      <c r="D25" s="10">
        <v>100</v>
      </c>
      <c r="E25" s="10">
        <v>0</v>
      </c>
      <c r="F25" s="143">
        <f t="shared" si="2"/>
        <v>4256.8</v>
      </c>
      <c r="G25" s="144" t="s">
        <v>178</v>
      </c>
      <c r="K25" s="10"/>
    </row>
    <row r="26" spans="1:14">
      <c r="A26" t="s">
        <v>211</v>
      </c>
      <c r="B26" s="128">
        <f>3816*1.05</f>
        <v>4006.8</v>
      </c>
      <c r="C26" s="10">
        <v>0</v>
      </c>
      <c r="D26" s="10">
        <v>100</v>
      </c>
      <c r="E26" s="10">
        <v>0</v>
      </c>
      <c r="F26" s="143">
        <f t="shared" si="2"/>
        <v>4106.8</v>
      </c>
      <c r="G26" s="144" t="s">
        <v>179</v>
      </c>
      <c r="K26" s="10"/>
    </row>
    <row r="27" spans="1:14" ht="30">
      <c r="A27" s="113" t="s">
        <v>180</v>
      </c>
      <c r="B27" s="128">
        <f>(9540*1.05)+100</f>
        <v>10117</v>
      </c>
      <c r="C27" s="10">
        <v>200</v>
      </c>
      <c r="D27" s="10">
        <v>200</v>
      </c>
      <c r="E27" s="10">
        <v>200</v>
      </c>
      <c r="F27" s="142">
        <f t="shared" si="2"/>
        <v>10717</v>
      </c>
      <c r="G27" s="144">
        <f>(B27+C27+D27)/2+E27</f>
        <v>5458.5</v>
      </c>
      <c r="K27" s="10"/>
    </row>
    <row r="28" spans="1:14" ht="30">
      <c r="A28" s="113" t="s">
        <v>181</v>
      </c>
      <c r="B28" s="128">
        <f>(16960*1.05)+200</f>
        <v>18008</v>
      </c>
      <c r="C28" s="10">
        <v>400</v>
      </c>
      <c r="D28" s="10">
        <v>400</v>
      </c>
      <c r="E28" s="10">
        <v>200</v>
      </c>
      <c r="F28" s="142">
        <f t="shared" si="2"/>
        <v>19008</v>
      </c>
      <c r="G28" s="144">
        <f t="shared" ref="G28:G37" si="3">(B28+C28+D28)/4+E28</f>
        <v>4902</v>
      </c>
      <c r="K28" s="10"/>
    </row>
    <row r="29" spans="1:14">
      <c r="A29" t="s">
        <v>182</v>
      </c>
      <c r="B29" s="128">
        <f>(16960*1.05)+200</f>
        <v>18008</v>
      </c>
      <c r="C29" s="10">
        <v>400</v>
      </c>
      <c r="D29" s="10">
        <v>400</v>
      </c>
      <c r="E29" s="10">
        <v>200</v>
      </c>
      <c r="F29" s="142">
        <f t="shared" si="2"/>
        <v>19008</v>
      </c>
      <c r="G29" s="144">
        <f t="shared" si="3"/>
        <v>4902</v>
      </c>
      <c r="K29" s="10"/>
    </row>
    <row r="30" spans="1:14">
      <c r="A30" t="s">
        <v>183</v>
      </c>
      <c r="B30" s="128">
        <f>(14587*1.05)+150</f>
        <v>15466.35</v>
      </c>
      <c r="C30" s="10">
        <v>300</v>
      </c>
      <c r="D30" s="10">
        <v>300</v>
      </c>
      <c r="E30" s="10">
        <v>200</v>
      </c>
      <c r="F30" s="142">
        <f t="shared" si="2"/>
        <v>16266.35</v>
      </c>
      <c r="G30" s="144">
        <f>(B30+C30+D30)/3+E30</f>
        <v>5555.45</v>
      </c>
      <c r="K30" s="10"/>
    </row>
    <row r="31" spans="1:14">
      <c r="A31" t="s">
        <v>184</v>
      </c>
      <c r="B31" s="128">
        <f>(9540*1.05)+100</f>
        <v>10117</v>
      </c>
      <c r="C31" s="10">
        <v>200</v>
      </c>
      <c r="D31" s="10">
        <v>200</v>
      </c>
      <c r="E31" s="10">
        <v>200</v>
      </c>
      <c r="F31" s="142">
        <f t="shared" si="2"/>
        <v>10717</v>
      </c>
      <c r="G31" s="144">
        <f>(B31+C31+D31)/2+E31</f>
        <v>5458.5</v>
      </c>
      <c r="K31" s="10"/>
    </row>
    <row r="32" spans="1:14">
      <c r="A32" t="s">
        <v>192</v>
      </c>
      <c r="B32" s="128">
        <f>(18346*1.05)+200</f>
        <v>19463.3</v>
      </c>
      <c r="C32" s="10">
        <v>400</v>
      </c>
      <c r="D32" s="10">
        <v>400</v>
      </c>
      <c r="E32" s="10">
        <v>200</v>
      </c>
      <c r="F32" s="142">
        <f t="shared" si="2"/>
        <v>20463.3</v>
      </c>
      <c r="G32" s="144">
        <f t="shared" si="3"/>
        <v>5265.8249999999998</v>
      </c>
      <c r="K32" s="10"/>
    </row>
    <row r="33" spans="1:16">
      <c r="A33" t="s">
        <v>247</v>
      </c>
      <c r="B33" s="128">
        <f>(16960*1.05)+200</f>
        <v>18008</v>
      </c>
      <c r="C33" s="10">
        <v>400</v>
      </c>
      <c r="D33" s="10">
        <v>400</v>
      </c>
      <c r="E33" s="10">
        <v>200</v>
      </c>
      <c r="F33" s="142">
        <f t="shared" si="2"/>
        <v>19008</v>
      </c>
      <c r="G33" s="144">
        <f t="shared" si="3"/>
        <v>4902</v>
      </c>
      <c r="K33" s="10"/>
    </row>
    <row r="34" spans="1:16">
      <c r="A34" t="s">
        <v>248</v>
      </c>
      <c r="B34" s="128">
        <f>(9540*1.05)+100</f>
        <v>10117</v>
      </c>
      <c r="C34" s="10">
        <v>200</v>
      </c>
      <c r="D34" s="10">
        <v>200</v>
      </c>
      <c r="E34" s="10">
        <v>200</v>
      </c>
      <c r="F34" s="142">
        <f t="shared" si="2"/>
        <v>10717</v>
      </c>
      <c r="G34" s="144">
        <f>(B34+C34+D34)/2+E34</f>
        <v>5458.5</v>
      </c>
      <c r="K34" s="10"/>
    </row>
    <row r="35" spans="1:16">
      <c r="A35" t="s">
        <v>284</v>
      </c>
      <c r="B35" s="128">
        <f>(11400)+100</f>
        <v>11500</v>
      </c>
      <c r="C35" s="10">
        <v>200</v>
      </c>
      <c r="D35" s="10">
        <v>200</v>
      </c>
      <c r="E35" s="87">
        <v>200</v>
      </c>
      <c r="F35" s="175">
        <f t="shared" si="2"/>
        <v>12100</v>
      </c>
      <c r="G35" s="144">
        <f>(B35+C35+D35)/2+E35</f>
        <v>6150</v>
      </c>
      <c r="O35" s="32"/>
      <c r="P35"/>
    </row>
    <row r="36" spans="1:16">
      <c r="A36" t="s">
        <v>285</v>
      </c>
      <c r="B36" s="128">
        <f>(23100)+200</f>
        <v>23300</v>
      </c>
      <c r="C36" s="10">
        <v>400</v>
      </c>
      <c r="D36" s="10">
        <v>400</v>
      </c>
      <c r="E36" s="87">
        <v>200</v>
      </c>
      <c r="F36" s="175">
        <f t="shared" si="2"/>
        <v>24300</v>
      </c>
      <c r="G36" s="144">
        <f t="shared" si="3"/>
        <v>6225</v>
      </c>
      <c r="J36" s="146"/>
      <c r="O36" s="32"/>
      <c r="P36"/>
    </row>
    <row r="37" spans="1:16">
      <c r="A37" t="s">
        <v>295</v>
      </c>
      <c r="B37" s="128">
        <f>88000+200</f>
        <v>88200</v>
      </c>
      <c r="C37" s="10">
        <v>400</v>
      </c>
      <c r="D37" s="10">
        <v>400</v>
      </c>
      <c r="E37" s="87">
        <v>200</v>
      </c>
      <c r="F37" s="175">
        <f t="shared" si="2"/>
        <v>89200</v>
      </c>
      <c r="G37" s="144">
        <f t="shared" si="3"/>
        <v>22450</v>
      </c>
      <c r="O37" s="32"/>
      <c r="P37"/>
    </row>
    <row r="38" spans="1:16">
      <c r="C38" s="10"/>
      <c r="D38" s="10"/>
      <c r="E38" s="10"/>
      <c r="F38" s="87"/>
      <c r="G38" s="88"/>
    </row>
    <row r="39" spans="1:16">
      <c r="C39" s="10"/>
      <c r="D39" s="10"/>
      <c r="E39" s="10"/>
      <c r="F39" s="87"/>
      <c r="G39" s="88"/>
    </row>
    <row r="40" spans="1:16">
      <c r="C40" s="10"/>
      <c r="D40" s="10"/>
      <c r="E40" s="10"/>
      <c r="F40" s="87"/>
      <c r="G40" s="88"/>
    </row>
    <row r="41" spans="1:16">
      <c r="C41" s="10"/>
      <c r="D41" s="10"/>
      <c r="E41" s="10"/>
      <c r="F41" s="87"/>
      <c r="G41" s="88"/>
    </row>
    <row r="42" spans="1:16">
      <c r="C42" s="10"/>
      <c r="D42" s="10"/>
      <c r="E42" s="10"/>
      <c r="F42" s="87"/>
      <c r="G42" s="88"/>
    </row>
    <row r="43" spans="1:16">
      <c r="C43" s="10"/>
      <c r="D43" s="10"/>
      <c r="E43" s="10"/>
      <c r="F43" s="87"/>
      <c r="G43" s="88"/>
    </row>
    <row r="44" spans="1:16">
      <c r="C44" s="11"/>
      <c r="D44" s="11"/>
      <c r="E44" s="11"/>
      <c r="F44" s="11"/>
      <c r="G44" s="86"/>
    </row>
    <row r="45" spans="1:16" ht="28.5">
      <c r="A45" s="229" t="s">
        <v>98</v>
      </c>
      <c r="B45" s="229"/>
      <c r="C45" s="229"/>
      <c r="D45" s="229"/>
      <c r="E45" s="229"/>
      <c r="F45" s="229"/>
      <c r="G45" s="229"/>
    </row>
    <row r="46" spans="1:16" ht="36.75">
      <c r="A46" s="103" t="s">
        <v>1</v>
      </c>
      <c r="B46" s="102" t="s">
        <v>2</v>
      </c>
      <c r="C46" s="80" t="s">
        <v>46</v>
      </c>
      <c r="D46" s="3" t="s">
        <v>274</v>
      </c>
      <c r="E46" s="81" t="s">
        <v>208</v>
      </c>
      <c r="F46" s="80" t="s">
        <v>6</v>
      </c>
      <c r="G46" s="116" t="s">
        <v>84</v>
      </c>
    </row>
    <row r="47" spans="1:16" ht="15.75">
      <c r="A47" s="103" t="s">
        <v>98</v>
      </c>
      <c r="B47" s="84" t="s">
        <v>32</v>
      </c>
      <c r="C47" s="85" t="s">
        <v>32</v>
      </c>
      <c r="D47" s="85" t="s">
        <v>32</v>
      </c>
      <c r="E47" s="85" t="s">
        <v>32</v>
      </c>
      <c r="F47" s="85" t="s">
        <v>32</v>
      </c>
      <c r="G47" s="152" t="s">
        <v>32</v>
      </c>
    </row>
    <row r="48" spans="1:16">
      <c r="A48" t="s">
        <v>99</v>
      </c>
      <c r="B48" s="128">
        <f>(7224+32)</f>
        <v>7256</v>
      </c>
      <c r="C48" s="10">
        <v>56</v>
      </c>
      <c r="D48" s="10">
        <v>60</v>
      </c>
      <c r="E48" s="10">
        <v>16</v>
      </c>
      <c r="F48" s="10">
        <f t="shared" ref="F48:F61" si="4">SUM(B48:E48)</f>
        <v>7388</v>
      </c>
      <c r="G48" s="144">
        <f>(B48+C48+D48)/4+E48</f>
        <v>1859</v>
      </c>
    </row>
    <row r="49" spans="1:16">
      <c r="A49" t="s">
        <v>100</v>
      </c>
      <c r="B49" s="128">
        <f>(6501.6+32)</f>
        <v>6533.6</v>
      </c>
      <c r="C49" s="10">
        <v>56</v>
      </c>
      <c r="D49" s="10">
        <v>60</v>
      </c>
      <c r="E49" s="10">
        <v>16</v>
      </c>
      <c r="F49" s="10">
        <f t="shared" si="4"/>
        <v>6665.6</v>
      </c>
      <c r="G49" s="144">
        <f t="shared" ref="G49:G59" si="5">(B49+C49+D49)/4+E49</f>
        <v>1678.4</v>
      </c>
    </row>
    <row r="50" spans="1:16">
      <c r="A50" s="37" t="s">
        <v>88</v>
      </c>
      <c r="B50" s="141">
        <f>(8024+32)</f>
        <v>8056</v>
      </c>
      <c r="C50" s="38">
        <v>56</v>
      </c>
      <c r="D50" s="10">
        <v>60</v>
      </c>
      <c r="E50" s="10">
        <v>16</v>
      </c>
      <c r="F50" s="10">
        <f t="shared" si="4"/>
        <v>8188</v>
      </c>
      <c r="G50" s="144">
        <f t="shared" si="5"/>
        <v>2059</v>
      </c>
    </row>
    <row r="51" spans="1:16">
      <c r="A51" s="37" t="s">
        <v>89</v>
      </c>
      <c r="B51" s="141">
        <f>(7221.6+32)</f>
        <v>7253.6</v>
      </c>
      <c r="C51" s="38">
        <v>56</v>
      </c>
      <c r="D51" s="10">
        <v>60</v>
      </c>
      <c r="E51" s="10">
        <v>16</v>
      </c>
      <c r="F51" s="10">
        <f t="shared" si="4"/>
        <v>7385.6</v>
      </c>
      <c r="G51" s="144">
        <f t="shared" si="5"/>
        <v>1858.4</v>
      </c>
      <c r="I51" s="49"/>
    </row>
    <row r="52" spans="1:16">
      <c r="A52" t="s">
        <v>92</v>
      </c>
      <c r="B52" s="128">
        <f>(4012+16)</f>
        <v>4028</v>
      </c>
      <c r="C52" s="10">
        <v>28</v>
      </c>
      <c r="D52" s="10">
        <v>30</v>
      </c>
      <c r="E52" s="10">
        <v>16</v>
      </c>
      <c r="F52" s="10">
        <f t="shared" si="4"/>
        <v>4102</v>
      </c>
      <c r="G52" s="144">
        <f>(B52+C52+D52)/2+E52</f>
        <v>2059</v>
      </c>
    </row>
    <row r="53" spans="1:16">
      <c r="A53" t="s">
        <v>102</v>
      </c>
      <c r="B53" s="128">
        <f>(3610.8+16)</f>
        <v>3626.8</v>
      </c>
      <c r="C53" s="10">
        <v>28</v>
      </c>
      <c r="D53" s="10">
        <v>30</v>
      </c>
      <c r="E53" s="10">
        <v>16</v>
      </c>
      <c r="F53" s="10">
        <f t="shared" si="4"/>
        <v>3700.8</v>
      </c>
      <c r="G53" s="144">
        <f>(B53+C53+D53)/2+E53</f>
        <v>1858.4</v>
      </c>
    </row>
    <row r="54" spans="1:16">
      <c r="A54" t="s">
        <v>94</v>
      </c>
      <c r="B54" s="128">
        <f>(7224+32)</f>
        <v>7256</v>
      </c>
      <c r="C54" s="10">
        <v>56</v>
      </c>
      <c r="D54" s="10">
        <v>60</v>
      </c>
      <c r="E54" s="10">
        <v>16</v>
      </c>
      <c r="F54" s="10">
        <f t="shared" si="4"/>
        <v>7388</v>
      </c>
      <c r="G54" s="144">
        <f t="shared" si="5"/>
        <v>1859</v>
      </c>
    </row>
    <row r="55" spans="1:16">
      <c r="A55" t="s">
        <v>95</v>
      </c>
      <c r="B55" s="128">
        <f>(6501.6+32)</f>
        <v>6533.6</v>
      </c>
      <c r="C55" s="10">
        <v>56</v>
      </c>
      <c r="D55" s="10">
        <v>60</v>
      </c>
      <c r="E55" s="10">
        <v>16</v>
      </c>
      <c r="F55" s="10">
        <f t="shared" si="4"/>
        <v>6665.6</v>
      </c>
      <c r="G55" s="144">
        <f t="shared" si="5"/>
        <v>1678.4</v>
      </c>
    </row>
    <row r="56" spans="1:16">
      <c r="A56" s="91" t="s">
        <v>90</v>
      </c>
      <c r="B56" s="128">
        <f>(4012+16)</f>
        <v>4028</v>
      </c>
      <c r="C56" s="10">
        <v>28</v>
      </c>
      <c r="D56" s="10">
        <v>30</v>
      </c>
      <c r="E56" s="10">
        <v>16</v>
      </c>
      <c r="F56" s="10">
        <f t="shared" si="4"/>
        <v>4102</v>
      </c>
      <c r="G56" s="144">
        <f>(B56+C56+D56)/2+E56</f>
        <v>2059</v>
      </c>
    </row>
    <row r="57" spans="1:16">
      <c r="A57" s="91" t="s">
        <v>101</v>
      </c>
      <c r="B57" s="128">
        <f>(3610.8+16)</f>
        <v>3626.8</v>
      </c>
      <c r="C57" s="10">
        <v>28</v>
      </c>
      <c r="D57" s="10">
        <v>30</v>
      </c>
      <c r="E57" s="10">
        <v>16</v>
      </c>
      <c r="F57" s="10">
        <f t="shared" si="4"/>
        <v>3700.8</v>
      </c>
      <c r="G57" s="144">
        <f>(B57+C57+D57)/2+E57</f>
        <v>1858.4</v>
      </c>
    </row>
    <row r="58" spans="1:16">
      <c r="A58" t="s">
        <v>96</v>
      </c>
      <c r="B58" s="128">
        <f>(7224+32)</f>
        <v>7256</v>
      </c>
      <c r="C58" s="10">
        <v>56</v>
      </c>
      <c r="D58" s="10">
        <v>60</v>
      </c>
      <c r="E58" s="10">
        <v>16</v>
      </c>
      <c r="F58" s="10">
        <f t="shared" si="4"/>
        <v>7388</v>
      </c>
      <c r="G58" s="144">
        <f t="shared" si="5"/>
        <v>1859</v>
      </c>
    </row>
    <row r="59" spans="1:16">
      <c r="A59" t="s">
        <v>97</v>
      </c>
      <c r="B59" s="128">
        <f>(6501.6+32)</f>
        <v>6533.6</v>
      </c>
      <c r="C59" s="10">
        <v>56</v>
      </c>
      <c r="D59" s="10">
        <v>60</v>
      </c>
      <c r="E59" s="10">
        <v>16</v>
      </c>
      <c r="F59" s="10">
        <f t="shared" si="4"/>
        <v>6665.6</v>
      </c>
      <c r="G59" s="144">
        <f t="shared" si="5"/>
        <v>1678.4</v>
      </c>
      <c r="K59" s="49"/>
    </row>
    <row r="60" spans="1:16">
      <c r="A60" t="s">
        <v>168</v>
      </c>
      <c r="B60" s="128">
        <f>(4012+16)</f>
        <v>4028</v>
      </c>
      <c r="C60" s="10">
        <v>28</v>
      </c>
      <c r="D60" s="10">
        <v>30</v>
      </c>
      <c r="E60" s="10">
        <v>16</v>
      </c>
      <c r="F60" s="10">
        <f t="shared" si="4"/>
        <v>4102</v>
      </c>
      <c r="G60" s="144">
        <f>(B60+C60+D60)/2+E60</f>
        <v>2059</v>
      </c>
    </row>
    <row r="61" spans="1:16">
      <c r="A61" t="s">
        <v>170</v>
      </c>
      <c r="B61" s="128">
        <f>(4012+16)</f>
        <v>4028</v>
      </c>
      <c r="C61" s="10">
        <v>28</v>
      </c>
      <c r="D61" s="10">
        <v>30</v>
      </c>
      <c r="E61" s="10">
        <v>16</v>
      </c>
      <c r="F61" s="10">
        <f t="shared" si="4"/>
        <v>4102</v>
      </c>
      <c r="G61" s="144">
        <f>(B61+C61+D61)/2+E61</f>
        <v>2059</v>
      </c>
      <c r="O61" s="32"/>
      <c r="P61"/>
    </row>
    <row r="62" spans="1:16">
      <c r="C62" s="10"/>
      <c r="D62" s="10"/>
      <c r="E62" s="10"/>
      <c r="F62" s="10"/>
      <c r="G62" s="90"/>
    </row>
    <row r="63" spans="1:16">
      <c r="C63" s="10"/>
      <c r="D63" s="10"/>
      <c r="E63" s="10"/>
      <c r="F63" s="10"/>
      <c r="G63" s="90"/>
    </row>
    <row r="64" spans="1:16">
      <c r="C64" s="10"/>
      <c r="D64" s="10"/>
      <c r="E64" s="10"/>
      <c r="F64" s="10"/>
      <c r="G64" s="90"/>
    </row>
    <row r="65" spans="1:18" ht="18.75">
      <c r="A65" s="204" t="s">
        <v>188</v>
      </c>
      <c r="B65" s="204"/>
      <c r="C65" s="204"/>
      <c r="D65" s="204"/>
      <c r="E65" s="204"/>
      <c r="F65" s="204"/>
      <c r="G65" s="204"/>
      <c r="L65" s="204" t="s">
        <v>193</v>
      </c>
      <c r="M65" s="204"/>
      <c r="N65" s="204"/>
      <c r="O65" s="204"/>
      <c r="P65" s="204"/>
      <c r="Q65" s="204"/>
      <c r="R65" s="204"/>
    </row>
    <row r="66" spans="1:18" ht="39">
      <c r="A66" s="103" t="s">
        <v>1</v>
      </c>
      <c r="B66" s="102" t="s">
        <v>2</v>
      </c>
      <c r="C66" s="80" t="s">
        <v>46</v>
      </c>
      <c r="D66" s="3" t="s">
        <v>274</v>
      </c>
      <c r="E66" s="81" t="s">
        <v>208</v>
      </c>
      <c r="F66" s="80" t="s">
        <v>6</v>
      </c>
      <c r="G66" s="117" t="s">
        <v>84</v>
      </c>
      <c r="K66" s="102" t="s">
        <v>2</v>
      </c>
      <c r="L66" s="80" t="s">
        <v>46</v>
      </c>
      <c r="M66" s="3" t="s">
        <v>274</v>
      </c>
      <c r="N66" s="81" t="s">
        <v>208</v>
      </c>
      <c r="O66" s="80" t="s">
        <v>6</v>
      </c>
      <c r="P66" s="117" t="s">
        <v>84</v>
      </c>
    </row>
    <row r="67" spans="1:18" ht="30">
      <c r="A67" s="113" t="s">
        <v>180</v>
      </c>
      <c r="B67" s="128">
        <f>(13500*1.05)+100</f>
        <v>14275</v>
      </c>
      <c r="C67">
        <v>200</v>
      </c>
      <c r="D67">
        <v>200</v>
      </c>
      <c r="E67">
        <v>200</v>
      </c>
      <c r="F67" s="146">
        <f>B67+C67+E67+D67</f>
        <v>14875</v>
      </c>
      <c r="G67" s="144">
        <f>(B67+C67+D67)/2+E67</f>
        <v>7537.5</v>
      </c>
      <c r="K67" s="128">
        <f>1359+16</f>
        <v>1375</v>
      </c>
      <c r="L67" s="128">
        <v>28</v>
      </c>
      <c r="M67" s="128">
        <v>30</v>
      </c>
      <c r="N67" s="128">
        <v>16</v>
      </c>
      <c r="O67" s="128">
        <f t="shared" ref="O67:O73" si="6">SUM(K67:N67)</f>
        <v>1449</v>
      </c>
      <c r="P67" s="144">
        <f>(K67+L67+M67)/2+16</f>
        <v>732.5</v>
      </c>
    </row>
    <row r="68" spans="1:18" ht="30">
      <c r="A68" s="113" t="s">
        <v>181</v>
      </c>
      <c r="B68" s="128">
        <f>(24000*1.05)+200</f>
        <v>25400</v>
      </c>
      <c r="C68">
        <v>400</v>
      </c>
      <c r="D68">
        <v>400</v>
      </c>
      <c r="E68">
        <v>200</v>
      </c>
      <c r="F68" s="146">
        <f t="shared" ref="F68:F73" si="7">B68+C68+E68+D68</f>
        <v>26400</v>
      </c>
      <c r="G68" s="144">
        <f>(B68+C68+D68)/4+E68</f>
        <v>6750</v>
      </c>
      <c r="K68" s="128">
        <f>2412+32</f>
        <v>2444</v>
      </c>
      <c r="L68" s="128">
        <v>56</v>
      </c>
      <c r="M68" s="128">
        <v>60</v>
      </c>
      <c r="N68" s="128">
        <v>16</v>
      </c>
      <c r="O68" s="128">
        <f t="shared" si="6"/>
        <v>2576</v>
      </c>
      <c r="P68" s="144">
        <f>(K68+L68+M68)/4+16</f>
        <v>656</v>
      </c>
    </row>
    <row r="69" spans="1:18">
      <c r="A69" t="s">
        <v>182</v>
      </c>
      <c r="B69" s="128">
        <f>(24000*1.05)+200</f>
        <v>25400</v>
      </c>
      <c r="C69">
        <v>400</v>
      </c>
      <c r="D69">
        <v>400</v>
      </c>
      <c r="E69">
        <v>200</v>
      </c>
      <c r="F69" s="146">
        <f t="shared" si="7"/>
        <v>26400</v>
      </c>
      <c r="G69" s="144">
        <f>(B69+C69+D69)/4+E69</f>
        <v>6750</v>
      </c>
      <c r="K69" s="128">
        <f>2412+32</f>
        <v>2444</v>
      </c>
      <c r="L69" s="128">
        <v>56</v>
      </c>
      <c r="M69" s="128">
        <v>60</v>
      </c>
      <c r="N69" s="128">
        <v>16</v>
      </c>
      <c r="O69" s="128">
        <f t="shared" si="6"/>
        <v>2576</v>
      </c>
      <c r="P69" s="144">
        <f>(K69+L69+M69)/4+16</f>
        <v>656</v>
      </c>
    </row>
    <row r="70" spans="1:18">
      <c r="A70" t="s">
        <v>183</v>
      </c>
      <c r="B70" s="128">
        <f>(20642*1.05)+150</f>
        <v>21824.100000000002</v>
      </c>
      <c r="C70">
        <v>300</v>
      </c>
      <c r="D70">
        <v>300</v>
      </c>
      <c r="E70">
        <v>200</v>
      </c>
      <c r="F70" s="146">
        <f t="shared" si="7"/>
        <v>22624.100000000002</v>
      </c>
      <c r="G70" s="144">
        <f>(B70+C70+D70)/3+E70</f>
        <v>7674.7000000000007</v>
      </c>
      <c r="K70" s="128">
        <f>2079+24</f>
        <v>2103</v>
      </c>
      <c r="L70" s="128">
        <v>42</v>
      </c>
      <c r="M70" s="128">
        <v>45</v>
      </c>
      <c r="N70" s="128">
        <v>16</v>
      </c>
      <c r="O70" s="128">
        <f t="shared" si="6"/>
        <v>2206</v>
      </c>
      <c r="P70" s="144">
        <f>(K70+L70+M70)/3+16</f>
        <v>746</v>
      </c>
    </row>
    <row r="71" spans="1:18">
      <c r="A71" t="s">
        <v>184</v>
      </c>
      <c r="B71" s="128">
        <f>(13500*1.05)+100</f>
        <v>14275</v>
      </c>
      <c r="C71">
        <v>200</v>
      </c>
      <c r="D71">
        <v>200</v>
      </c>
      <c r="E71">
        <v>200</v>
      </c>
      <c r="F71" s="146">
        <f t="shared" si="7"/>
        <v>14875</v>
      </c>
      <c r="G71" s="144">
        <f t="shared" ref="G71:G73" si="8">(B71+C71+D71)/2+E71</f>
        <v>7537.5</v>
      </c>
      <c r="K71" s="128">
        <f>1359+16</f>
        <v>1375</v>
      </c>
      <c r="L71" s="128">
        <v>28</v>
      </c>
      <c r="M71" s="128">
        <v>30</v>
      </c>
      <c r="N71" s="128">
        <v>16</v>
      </c>
      <c r="O71" s="128">
        <f t="shared" si="6"/>
        <v>1449</v>
      </c>
      <c r="P71" s="144">
        <f t="shared" ref="P71:P73" si="9">(K71+L71+M71)/2+16</f>
        <v>732.5</v>
      </c>
    </row>
    <row r="72" spans="1:18">
      <c r="A72" t="s">
        <v>247</v>
      </c>
      <c r="B72" s="128">
        <f>(24000*1.05)+200</f>
        <v>25400</v>
      </c>
      <c r="C72">
        <v>400</v>
      </c>
      <c r="D72">
        <v>400</v>
      </c>
      <c r="E72">
        <v>200</v>
      </c>
      <c r="F72" s="146">
        <f t="shared" si="7"/>
        <v>26400</v>
      </c>
      <c r="G72" s="144">
        <f>(B72+C72+D72)/4+E72</f>
        <v>6750</v>
      </c>
      <c r="K72" s="128">
        <f>2412+32</f>
        <v>2444</v>
      </c>
      <c r="L72" s="128">
        <v>56</v>
      </c>
      <c r="M72" s="128">
        <v>60</v>
      </c>
      <c r="N72" s="128">
        <v>16</v>
      </c>
      <c r="O72" s="128">
        <f t="shared" si="6"/>
        <v>2576</v>
      </c>
      <c r="P72" s="144">
        <f>(K72+L72+M72)/4+16</f>
        <v>656</v>
      </c>
    </row>
    <row r="73" spans="1:18">
      <c r="A73" t="s">
        <v>248</v>
      </c>
      <c r="B73" s="128">
        <f>(13500*1.05)+100</f>
        <v>14275</v>
      </c>
      <c r="C73">
        <v>200</v>
      </c>
      <c r="D73">
        <v>200</v>
      </c>
      <c r="E73">
        <v>200</v>
      </c>
      <c r="F73" s="146">
        <f t="shared" si="7"/>
        <v>14875</v>
      </c>
      <c r="G73" s="144">
        <f t="shared" si="8"/>
        <v>7537.5</v>
      </c>
      <c r="K73" s="128">
        <f>1359+16</f>
        <v>1375</v>
      </c>
      <c r="L73" s="128">
        <v>28</v>
      </c>
      <c r="M73" s="128">
        <v>30</v>
      </c>
      <c r="N73" s="128">
        <v>16</v>
      </c>
      <c r="O73" s="128">
        <f t="shared" si="6"/>
        <v>1449</v>
      </c>
      <c r="P73" s="144">
        <f t="shared" si="9"/>
        <v>732.5</v>
      </c>
    </row>
    <row r="74" spans="1:18">
      <c r="F74" s="115"/>
      <c r="G74" s="90"/>
      <c r="K74" s="10"/>
      <c r="L74" s="10"/>
      <c r="M74" s="10"/>
      <c r="N74" s="10"/>
      <c r="O74" s="10"/>
      <c r="P74" s="10"/>
    </row>
    <row r="75" spans="1:18">
      <c r="F75" s="115"/>
      <c r="G75" s="90"/>
      <c r="K75" s="10"/>
      <c r="L75" s="10"/>
      <c r="M75" s="10"/>
      <c r="N75" s="10"/>
      <c r="O75" s="10"/>
      <c r="P75" s="121"/>
    </row>
    <row r="76" spans="1:18">
      <c r="F76" s="115"/>
      <c r="G76" s="90"/>
      <c r="K76" s="10"/>
      <c r="L76" s="10"/>
      <c r="M76" s="10"/>
      <c r="N76" s="10"/>
      <c r="O76" s="10"/>
      <c r="P76" s="121"/>
    </row>
    <row r="77" spans="1:18">
      <c r="F77" s="115"/>
      <c r="G77" s="90"/>
      <c r="K77" s="10"/>
      <c r="L77" s="10"/>
      <c r="M77" s="10"/>
      <c r="N77" s="10"/>
      <c r="O77" s="10"/>
      <c r="P77" s="121"/>
    </row>
    <row r="78" spans="1:18">
      <c r="F78" s="115"/>
      <c r="G78" s="90"/>
      <c r="K78" s="10"/>
      <c r="L78" s="10"/>
      <c r="M78" s="10"/>
      <c r="N78" s="10"/>
      <c r="O78" s="10"/>
      <c r="P78" s="121"/>
    </row>
    <row r="79" spans="1:18">
      <c r="F79" s="115"/>
      <c r="G79" s="90"/>
      <c r="K79" s="10"/>
      <c r="L79" s="10"/>
      <c r="M79" s="10"/>
      <c r="N79" s="10"/>
      <c r="O79" s="10"/>
      <c r="P79" s="121"/>
    </row>
    <row r="80" spans="1:18">
      <c r="F80" s="115"/>
      <c r="G80" s="90"/>
      <c r="K80" s="10"/>
      <c r="L80" s="10"/>
      <c r="M80" s="10"/>
      <c r="N80" s="10"/>
      <c r="O80" s="10"/>
      <c r="P80" s="121"/>
    </row>
    <row r="83" spans="1:16" ht="31.5">
      <c r="A83" s="226" t="s">
        <v>205</v>
      </c>
      <c r="B83" s="226"/>
      <c r="C83" s="226"/>
      <c r="D83" s="226"/>
      <c r="E83" s="226"/>
      <c r="F83" s="226"/>
      <c r="G83" s="226"/>
      <c r="H83" s="226"/>
      <c r="I83" s="226"/>
      <c r="J83" s="226"/>
    </row>
    <row r="85" spans="1:16" ht="20.25">
      <c r="A85" s="203" t="s">
        <v>256</v>
      </c>
      <c r="B85" s="203"/>
      <c r="C85" s="203"/>
      <c r="D85" s="203"/>
      <c r="E85" s="203"/>
      <c r="F85" s="203"/>
      <c r="G85" s="203"/>
      <c r="H85" s="203"/>
      <c r="I85" s="203"/>
      <c r="J85" s="203"/>
      <c r="K85" s="203"/>
    </row>
    <row r="87" spans="1:16" ht="48.75">
      <c r="A87" s="7"/>
      <c r="B87" s="1" t="s">
        <v>45</v>
      </c>
      <c r="C87" s="30" t="s">
        <v>46</v>
      </c>
      <c r="D87" s="3" t="s">
        <v>274</v>
      </c>
      <c r="E87" s="3" t="s">
        <v>201</v>
      </c>
      <c r="F87" s="4" t="s">
        <v>6</v>
      </c>
      <c r="G87" s="116" t="s">
        <v>207</v>
      </c>
      <c r="M87" s="32"/>
      <c r="N87" s="32"/>
      <c r="P87"/>
    </row>
    <row r="88" spans="1:16" ht="17.25">
      <c r="A88" s="7"/>
      <c r="B88" s="23" t="s">
        <v>8</v>
      </c>
      <c r="C88" s="23" t="s">
        <v>8</v>
      </c>
      <c r="D88" s="6" t="s">
        <v>8</v>
      </c>
      <c r="E88" s="6" t="s">
        <v>8</v>
      </c>
      <c r="F88" s="23" t="s">
        <v>8</v>
      </c>
      <c r="G88" s="154" t="s">
        <v>8</v>
      </c>
      <c r="H88" s="153" t="s">
        <v>206</v>
      </c>
      <c r="M88" s="32"/>
      <c r="N88" s="32"/>
      <c r="P88"/>
    </row>
    <row r="89" spans="1:16" ht="15.75">
      <c r="A89" s="15" t="s">
        <v>233</v>
      </c>
      <c r="B89" s="134">
        <f>(12245*1.05)+200</f>
        <v>13057.25</v>
      </c>
      <c r="C89" s="126">
        <f>100*4</f>
        <v>400</v>
      </c>
      <c r="D89" s="184">
        <v>0</v>
      </c>
      <c r="E89" s="29">
        <v>200</v>
      </c>
      <c r="F89" s="149">
        <f>SUM(B89:E89)</f>
        <v>13657.25</v>
      </c>
      <c r="G89" s="145">
        <f>(B89+C89+D89)/4+200</f>
        <v>3564.3125</v>
      </c>
      <c r="H89" s="32" t="s">
        <v>275</v>
      </c>
      <c r="J89" s="86"/>
      <c r="K89" s="86"/>
      <c r="L89" s="86"/>
      <c r="M89" s="32"/>
      <c r="N89" s="32"/>
      <c r="P89"/>
    </row>
    <row r="90" spans="1:16" ht="15.75">
      <c r="A90" s="15" t="s">
        <v>175</v>
      </c>
      <c r="B90" s="134">
        <f>(6360*1.05)+100</f>
        <v>6778</v>
      </c>
      <c r="C90" s="126">
        <f>100*2</f>
        <v>200</v>
      </c>
      <c r="D90" s="184">
        <v>0</v>
      </c>
      <c r="E90" s="29">
        <v>200</v>
      </c>
      <c r="F90" s="149">
        <f>SUM(B90:E90)</f>
        <v>7178</v>
      </c>
      <c r="G90" s="145">
        <f>(B90+C90+D90)/2+200</f>
        <v>3689</v>
      </c>
      <c r="H90" s="32"/>
      <c r="J90" s="86"/>
      <c r="K90" s="86"/>
      <c r="L90" s="86"/>
      <c r="M90" s="86"/>
      <c r="N90" s="86"/>
      <c r="P90"/>
    </row>
    <row r="91" spans="1:16" ht="15.75">
      <c r="A91" s="15" t="s">
        <v>176</v>
      </c>
      <c r="B91" s="134">
        <f>(12720*1.05)+200</f>
        <v>13556</v>
      </c>
      <c r="C91" s="126">
        <f>100*4</f>
        <v>400</v>
      </c>
      <c r="D91" s="184">
        <v>0</v>
      </c>
      <c r="E91" s="29">
        <v>200</v>
      </c>
      <c r="F91" s="149">
        <f>SUM(B91:E91)</f>
        <v>14156</v>
      </c>
      <c r="G91" s="145">
        <f>(B91+C91+D91)/4+200</f>
        <v>3689</v>
      </c>
      <c r="H91" s="32"/>
      <c r="J91" s="86"/>
      <c r="K91" s="86"/>
      <c r="L91" s="86"/>
      <c r="M91" s="32"/>
      <c r="N91" s="32"/>
      <c r="P91"/>
    </row>
    <row r="92" spans="1:16" ht="15.75">
      <c r="A92" s="105"/>
      <c r="B92" s="106"/>
      <c r="C92" s="108"/>
      <c r="D92" s="109"/>
      <c r="E92" s="109"/>
      <c r="F92" s="107"/>
      <c r="G92" s="110"/>
      <c r="H92" s="106"/>
      <c r="I92" s="106"/>
    </row>
  </sheetData>
  <mergeCells count="8">
    <mergeCell ref="L65:R65"/>
    <mergeCell ref="A83:J83"/>
    <mergeCell ref="A85:K85"/>
    <mergeCell ref="A1:G1"/>
    <mergeCell ref="A2:G2"/>
    <mergeCell ref="A3:G3"/>
    <mergeCell ref="A45:G45"/>
    <mergeCell ref="A65:G65"/>
  </mergeCells>
  <pageMargins left="0.7" right="0.7" top="0.75" bottom="0.75" header="0.3" footer="0.3"/>
  <ignoredErrors>
    <ignoredError sqref="C9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7EC89-051A-465F-8925-D7DB9D3BCC13}">
  <dimension ref="A1:N71"/>
  <sheetViews>
    <sheetView workbookViewId="0">
      <selection activeCell="B70" sqref="B70"/>
    </sheetView>
  </sheetViews>
  <sheetFormatPr defaultRowHeight="15"/>
  <cols>
    <col min="1" max="1" width="35.85546875" customWidth="1"/>
    <col min="2" max="2" width="17.140625" style="10" customWidth="1"/>
    <col min="3" max="6" width="17.140625" customWidth="1"/>
    <col min="7" max="7" width="21.140625" style="32" customWidth="1"/>
    <col min="11" max="11" width="10.5703125" bestFit="1" customWidth="1"/>
  </cols>
  <sheetData>
    <row r="1" spans="1:8" ht="21">
      <c r="A1" s="227" t="s">
        <v>268</v>
      </c>
      <c r="B1" s="227"/>
      <c r="C1" s="227"/>
      <c r="D1" s="227"/>
      <c r="E1" s="227"/>
      <c r="F1" s="227"/>
      <c r="G1" s="227"/>
    </row>
    <row r="2" spans="1:8" ht="18.75">
      <c r="A2" s="204" t="s">
        <v>82</v>
      </c>
      <c r="B2" s="204"/>
      <c r="C2" s="204"/>
      <c r="D2" s="204"/>
      <c r="E2" s="204"/>
      <c r="F2" s="204"/>
      <c r="G2" s="204"/>
    </row>
    <row r="3" spans="1:8" ht="23.25">
      <c r="A3" s="228" t="s">
        <v>162</v>
      </c>
      <c r="B3" s="228"/>
      <c r="C3" s="228"/>
      <c r="D3" s="228"/>
      <c r="E3" s="228"/>
      <c r="F3" s="228"/>
      <c r="G3" s="228"/>
      <c r="H3" s="21"/>
    </row>
    <row r="4" spans="1:8" ht="42.75">
      <c r="A4" s="32" t="s">
        <v>1</v>
      </c>
      <c r="B4" s="83" t="s">
        <v>2</v>
      </c>
      <c r="C4" s="80" t="s">
        <v>46</v>
      </c>
      <c r="D4" s="3" t="s">
        <v>274</v>
      </c>
      <c r="E4" s="80" t="s">
        <v>6</v>
      </c>
      <c r="F4" s="3" t="s">
        <v>84</v>
      </c>
      <c r="G4" s="21"/>
    </row>
    <row r="5" spans="1:8" ht="18.75">
      <c r="A5" s="104" t="s">
        <v>85</v>
      </c>
      <c r="B5" s="84" t="s">
        <v>8</v>
      </c>
      <c r="C5" s="85" t="s">
        <v>8</v>
      </c>
      <c r="D5" s="101" t="s">
        <v>8</v>
      </c>
      <c r="E5" s="85" t="s">
        <v>8</v>
      </c>
      <c r="F5" s="86"/>
      <c r="G5"/>
    </row>
    <row r="6" spans="1:8">
      <c r="A6" t="s">
        <v>86</v>
      </c>
      <c r="B6" s="128">
        <f>(19448.88*1.05)+200</f>
        <v>20621.324000000001</v>
      </c>
      <c r="C6" s="10">
        <v>400</v>
      </c>
      <c r="D6" s="10">
        <v>400</v>
      </c>
      <c r="E6" s="142">
        <f t="shared" ref="E6:E22" si="0">SUM(B6:D6)</f>
        <v>21421.324000000001</v>
      </c>
      <c r="F6" s="144">
        <f>E6/4</f>
        <v>5355.3310000000001</v>
      </c>
      <c r="G6"/>
    </row>
    <row r="7" spans="1:8">
      <c r="A7" t="s">
        <v>87</v>
      </c>
      <c r="B7" s="128">
        <f>(17503.992*1.05)+200</f>
        <v>18579.191599999998</v>
      </c>
      <c r="C7" s="10">
        <v>400</v>
      </c>
      <c r="D7" s="10">
        <v>400</v>
      </c>
      <c r="E7" s="142">
        <f t="shared" si="0"/>
        <v>19379.191599999998</v>
      </c>
      <c r="F7" s="144">
        <f>E7/4</f>
        <v>4844.7978999999996</v>
      </c>
      <c r="G7"/>
    </row>
    <row r="8" spans="1:8">
      <c r="A8" s="37" t="s">
        <v>88</v>
      </c>
      <c r="B8" s="128">
        <f>(21306*1.05)+200</f>
        <v>22571.3</v>
      </c>
      <c r="C8" s="10">
        <v>400</v>
      </c>
      <c r="D8" s="10">
        <v>400</v>
      </c>
      <c r="E8" s="142">
        <f t="shared" si="0"/>
        <v>23371.3</v>
      </c>
      <c r="F8" s="144">
        <f>E8/4</f>
        <v>5842.8249999999998</v>
      </c>
      <c r="G8"/>
    </row>
    <row r="9" spans="1:8">
      <c r="A9" s="37" t="s">
        <v>89</v>
      </c>
      <c r="B9" s="128">
        <f>(19175.4*1.05)+200</f>
        <v>20334.170000000002</v>
      </c>
      <c r="C9" s="10">
        <v>400</v>
      </c>
      <c r="D9" s="10">
        <v>400</v>
      </c>
      <c r="E9" s="142">
        <f t="shared" si="0"/>
        <v>21134.170000000002</v>
      </c>
      <c r="F9" s="144">
        <f>E9/4</f>
        <v>5283.5425000000005</v>
      </c>
      <c r="G9"/>
    </row>
    <row r="10" spans="1:8">
      <c r="A10" s="37" t="s">
        <v>90</v>
      </c>
      <c r="B10" s="128">
        <f>(10653*1.05)+100</f>
        <v>11285.65</v>
      </c>
      <c r="C10" s="89">
        <v>200</v>
      </c>
      <c r="D10" s="10">
        <v>200</v>
      </c>
      <c r="E10" s="142">
        <f t="shared" si="0"/>
        <v>11685.65</v>
      </c>
      <c r="F10" s="144">
        <f>E10/2</f>
        <v>5842.8249999999998</v>
      </c>
      <c r="G10"/>
    </row>
    <row r="11" spans="1:8">
      <c r="A11" s="37" t="s">
        <v>91</v>
      </c>
      <c r="B11" s="128">
        <f>(9587.7*1.05)+100</f>
        <v>10167.085000000001</v>
      </c>
      <c r="C11" s="38">
        <v>200</v>
      </c>
      <c r="D11" s="10">
        <v>200</v>
      </c>
      <c r="E11" s="142">
        <f t="shared" si="0"/>
        <v>10567.085000000001</v>
      </c>
      <c r="F11" s="144">
        <f>E11/2</f>
        <v>5283.5425000000005</v>
      </c>
      <c r="G11"/>
    </row>
    <row r="12" spans="1:8">
      <c r="A12" t="s">
        <v>92</v>
      </c>
      <c r="B12" s="128">
        <f>(9185.96*1.05)+100</f>
        <v>9745.2579999999998</v>
      </c>
      <c r="C12" s="10">
        <v>200</v>
      </c>
      <c r="D12" s="10">
        <v>200</v>
      </c>
      <c r="E12" s="142">
        <f t="shared" si="0"/>
        <v>10145.258</v>
      </c>
      <c r="F12" s="144">
        <f>E12/2</f>
        <v>5072.6289999999999</v>
      </c>
      <c r="G12"/>
    </row>
    <row r="13" spans="1:8">
      <c r="A13" t="s">
        <v>93</v>
      </c>
      <c r="B13" s="128">
        <f>(8267.364*1.05)+100</f>
        <v>8780.7322000000004</v>
      </c>
      <c r="C13" s="10">
        <v>200</v>
      </c>
      <c r="D13" s="10">
        <v>200</v>
      </c>
      <c r="E13" s="142">
        <f t="shared" si="0"/>
        <v>9180.7322000000004</v>
      </c>
      <c r="F13" s="144">
        <f>E13/2</f>
        <v>4590.3661000000002</v>
      </c>
      <c r="G13"/>
    </row>
    <row r="14" spans="1:8">
      <c r="A14" t="s">
        <v>94</v>
      </c>
      <c r="B14" s="128">
        <f>(18346.48*1.05)+200</f>
        <v>19463.804</v>
      </c>
      <c r="C14" s="10">
        <v>400</v>
      </c>
      <c r="D14" s="10">
        <v>400</v>
      </c>
      <c r="E14" s="142">
        <f t="shared" si="0"/>
        <v>20263.804</v>
      </c>
      <c r="F14" s="144">
        <f>E14/4</f>
        <v>5065.951</v>
      </c>
      <c r="G14"/>
    </row>
    <row r="15" spans="1:8">
      <c r="A15" t="s">
        <v>95</v>
      </c>
      <c r="B15" s="128">
        <f>(16511.832*1.05)+200</f>
        <v>17537.423599999998</v>
      </c>
      <c r="C15" s="10">
        <v>400</v>
      </c>
      <c r="D15" s="10">
        <v>400</v>
      </c>
      <c r="E15" s="142">
        <f t="shared" si="0"/>
        <v>18337.423599999998</v>
      </c>
      <c r="F15" s="144">
        <f>E15/4</f>
        <v>4584.3558999999996</v>
      </c>
      <c r="G15"/>
    </row>
    <row r="16" spans="1:8">
      <c r="A16" t="s">
        <v>96</v>
      </c>
      <c r="B16" s="128">
        <f>(19448.88*1.05)+200</f>
        <v>20621.324000000001</v>
      </c>
      <c r="C16" s="10">
        <v>400</v>
      </c>
      <c r="D16" s="10">
        <v>400</v>
      </c>
      <c r="E16" s="142">
        <f t="shared" si="0"/>
        <v>21421.324000000001</v>
      </c>
      <c r="F16" s="145">
        <f>E16/4</f>
        <v>5355.3310000000001</v>
      </c>
      <c r="G16"/>
    </row>
    <row r="17" spans="1:14">
      <c r="A17" t="s">
        <v>97</v>
      </c>
      <c r="B17" s="128">
        <f>(17503.992*1.05)+200</f>
        <v>18579.191599999998</v>
      </c>
      <c r="C17" s="10">
        <v>400</v>
      </c>
      <c r="D17" s="10">
        <v>400</v>
      </c>
      <c r="E17" s="142">
        <f t="shared" si="0"/>
        <v>19379.191599999998</v>
      </c>
      <c r="F17" s="144">
        <f>E17/4</f>
        <v>4844.7978999999996</v>
      </c>
      <c r="G17"/>
    </row>
    <row r="18" spans="1:14">
      <c r="A18" s="37" t="s">
        <v>167</v>
      </c>
      <c r="B18" s="128">
        <f>(14310*1.05)+200</f>
        <v>15225.5</v>
      </c>
      <c r="C18" s="10">
        <v>400</v>
      </c>
      <c r="D18" s="10">
        <v>400</v>
      </c>
      <c r="E18" s="142">
        <f t="shared" si="0"/>
        <v>16025.5</v>
      </c>
      <c r="F18" s="144">
        <f>E18/4</f>
        <v>4006.375</v>
      </c>
      <c r="G18"/>
      <c r="L18" s="10"/>
      <c r="N18" s="32"/>
    </row>
    <row r="19" spans="1:14">
      <c r="A19" t="s">
        <v>170</v>
      </c>
      <c r="B19" s="128">
        <f>(6360*1.05)+100</f>
        <v>6778</v>
      </c>
      <c r="C19" s="89">
        <v>200</v>
      </c>
      <c r="D19" s="10">
        <v>200</v>
      </c>
      <c r="E19" s="142">
        <f t="shared" si="0"/>
        <v>7178</v>
      </c>
      <c r="F19" s="144">
        <f>E19/2</f>
        <v>3589</v>
      </c>
      <c r="G19"/>
      <c r="L19" s="10"/>
      <c r="N19" s="32"/>
    </row>
    <row r="20" spans="1:14">
      <c r="A20" t="s">
        <v>168</v>
      </c>
      <c r="B20" s="128">
        <f>(8268*1.05)+100</f>
        <v>8781.4</v>
      </c>
      <c r="C20" s="89">
        <v>200</v>
      </c>
      <c r="D20" s="10">
        <v>200</v>
      </c>
      <c r="E20" s="142">
        <f t="shared" si="0"/>
        <v>9181.4</v>
      </c>
      <c r="F20" s="144">
        <f>E20/2</f>
        <v>4590.7</v>
      </c>
      <c r="G20"/>
      <c r="L20" s="10"/>
      <c r="N20" s="32"/>
    </row>
    <row r="21" spans="1:14">
      <c r="A21" t="s">
        <v>171</v>
      </c>
      <c r="B21" s="128">
        <f>(14310*1.05)+150</f>
        <v>15175.5</v>
      </c>
      <c r="C21" s="10">
        <v>300</v>
      </c>
      <c r="D21" s="10">
        <v>300</v>
      </c>
      <c r="E21" s="142">
        <f t="shared" si="0"/>
        <v>15775.5</v>
      </c>
      <c r="F21" s="144">
        <f>E21/3</f>
        <v>5258.5</v>
      </c>
      <c r="G21"/>
      <c r="L21" s="10"/>
      <c r="N21" s="32"/>
    </row>
    <row r="22" spans="1:14">
      <c r="A22" t="s">
        <v>169</v>
      </c>
      <c r="B22" s="128">
        <f>(6890*1.05)+100</f>
        <v>7334.5</v>
      </c>
      <c r="C22" s="89">
        <v>200</v>
      </c>
      <c r="D22" s="10">
        <v>200</v>
      </c>
      <c r="E22" s="142">
        <f t="shared" si="0"/>
        <v>7734.5</v>
      </c>
      <c r="F22" s="144">
        <f>E22/2</f>
        <v>3867.25</v>
      </c>
      <c r="G22"/>
      <c r="L22" s="10"/>
      <c r="N22" s="32"/>
    </row>
    <row r="23" spans="1:14">
      <c r="B23" s="128"/>
      <c r="C23" s="10"/>
      <c r="D23" s="10"/>
      <c r="E23" s="142"/>
      <c r="F23" s="144"/>
      <c r="G23"/>
      <c r="N23" s="32"/>
    </row>
    <row r="24" spans="1:14">
      <c r="A24" t="s">
        <v>199</v>
      </c>
      <c r="B24" s="128">
        <f>(11448*1.05)+50</f>
        <v>12070.4</v>
      </c>
      <c r="C24" s="10">
        <v>100</v>
      </c>
      <c r="D24" s="10">
        <v>100</v>
      </c>
      <c r="E24" s="142">
        <f t="shared" ref="E24:E32" si="1">SUM(B24:D24)</f>
        <v>12270.4</v>
      </c>
      <c r="F24" s="144" t="s">
        <v>177</v>
      </c>
      <c r="G24"/>
      <c r="N24" s="32"/>
    </row>
    <row r="25" spans="1:14">
      <c r="A25" t="s">
        <v>200</v>
      </c>
      <c r="B25" s="128">
        <f>(3816*1.05)+50</f>
        <v>4056.8</v>
      </c>
      <c r="C25" s="10">
        <v>100</v>
      </c>
      <c r="D25" s="10">
        <v>100</v>
      </c>
      <c r="E25" s="142">
        <f t="shared" si="1"/>
        <v>4256.8</v>
      </c>
      <c r="F25" s="144" t="s">
        <v>178</v>
      </c>
      <c r="G25"/>
      <c r="N25" s="32"/>
    </row>
    <row r="26" spans="1:14">
      <c r="A26" t="s">
        <v>211</v>
      </c>
      <c r="B26" s="128">
        <f>3816*1.05</f>
        <v>4006.8</v>
      </c>
      <c r="C26" s="10">
        <v>0</v>
      </c>
      <c r="D26" s="10">
        <v>100</v>
      </c>
      <c r="E26" s="142">
        <f t="shared" si="1"/>
        <v>4106.8</v>
      </c>
      <c r="F26" s="144" t="s">
        <v>179</v>
      </c>
      <c r="G26"/>
      <c r="N26" s="32"/>
    </row>
    <row r="27" spans="1:14" ht="30">
      <c r="A27" s="113" t="s">
        <v>180</v>
      </c>
      <c r="B27" s="128">
        <f>(9540*1.05)+100</f>
        <v>10117</v>
      </c>
      <c r="C27" s="10">
        <v>200</v>
      </c>
      <c r="D27" s="10">
        <v>200</v>
      </c>
      <c r="E27" s="142">
        <f t="shared" si="1"/>
        <v>10517</v>
      </c>
      <c r="F27" s="144">
        <f>E27/2</f>
        <v>5258.5</v>
      </c>
      <c r="G27"/>
      <c r="N27" s="32"/>
    </row>
    <row r="28" spans="1:14" ht="30">
      <c r="A28" s="113" t="s">
        <v>181</v>
      </c>
      <c r="B28" s="128">
        <f>(16960*1.05)+200</f>
        <v>18008</v>
      </c>
      <c r="C28" s="10">
        <v>400</v>
      </c>
      <c r="D28" s="10">
        <v>400</v>
      </c>
      <c r="E28" s="142">
        <f t="shared" si="1"/>
        <v>18808</v>
      </c>
      <c r="F28" s="144">
        <f>E28/4</f>
        <v>4702</v>
      </c>
      <c r="G28"/>
      <c r="N28" s="32"/>
    </row>
    <row r="29" spans="1:14">
      <c r="A29" t="s">
        <v>182</v>
      </c>
      <c r="B29" s="128">
        <f>(16960*1.05)+200</f>
        <v>18008</v>
      </c>
      <c r="C29" s="10">
        <v>400</v>
      </c>
      <c r="D29" s="10">
        <v>400</v>
      </c>
      <c r="E29" s="142">
        <f t="shared" si="1"/>
        <v>18808</v>
      </c>
      <c r="F29" s="144">
        <f>E29/4</f>
        <v>4702</v>
      </c>
      <c r="G29"/>
      <c r="N29" s="32"/>
    </row>
    <row r="30" spans="1:14">
      <c r="A30" t="s">
        <v>183</v>
      </c>
      <c r="B30" s="128">
        <f>(14586.66*1.05)+150</f>
        <v>15465.993</v>
      </c>
      <c r="C30" s="10">
        <v>300</v>
      </c>
      <c r="D30" s="10">
        <v>300</v>
      </c>
      <c r="E30" s="142">
        <f t="shared" si="1"/>
        <v>16065.993</v>
      </c>
      <c r="F30" s="144">
        <f>E30/3</f>
        <v>5355.3310000000001</v>
      </c>
      <c r="G30"/>
      <c r="N30" s="32"/>
    </row>
    <row r="31" spans="1:14">
      <c r="A31" t="s">
        <v>184</v>
      </c>
      <c r="B31" s="128">
        <f>(9540*1.05)+100</f>
        <v>10117</v>
      </c>
      <c r="C31" s="10">
        <v>200</v>
      </c>
      <c r="D31" s="10">
        <v>200</v>
      </c>
      <c r="E31" s="142">
        <f t="shared" si="1"/>
        <v>10517</v>
      </c>
      <c r="F31" s="144">
        <f>E31/2</f>
        <v>5258.5</v>
      </c>
      <c r="G31"/>
      <c r="N31" s="32"/>
    </row>
    <row r="32" spans="1:14">
      <c r="A32" t="s">
        <v>192</v>
      </c>
      <c r="B32" s="128">
        <f>(18346.48*1.05)+200</f>
        <v>19463.804</v>
      </c>
      <c r="C32" s="10">
        <v>400</v>
      </c>
      <c r="D32" s="10">
        <v>400</v>
      </c>
      <c r="E32" s="142">
        <f t="shared" si="1"/>
        <v>20263.804</v>
      </c>
      <c r="F32" s="144">
        <f>E32/4</f>
        <v>5065.951</v>
      </c>
      <c r="G32"/>
      <c r="N32" s="32"/>
    </row>
    <row r="33" spans="1:8">
      <c r="B33" s="128"/>
      <c r="C33" s="10"/>
      <c r="D33" s="10"/>
      <c r="E33" s="142"/>
      <c r="F33" s="144"/>
      <c r="G33"/>
    </row>
    <row r="34" spans="1:8">
      <c r="B34" s="128"/>
      <c r="C34" s="10"/>
      <c r="D34" s="10"/>
      <c r="E34" s="10"/>
      <c r="F34" s="142"/>
      <c r="G34" s="144"/>
    </row>
    <row r="35" spans="1:8">
      <c r="B35" s="128"/>
      <c r="C35" s="10"/>
      <c r="D35" s="10"/>
      <c r="E35" s="10"/>
      <c r="F35" s="142"/>
      <c r="G35" s="144"/>
    </row>
    <row r="36" spans="1:8">
      <c r="C36" s="10"/>
      <c r="D36" s="10"/>
      <c r="E36" s="10"/>
      <c r="F36" s="87"/>
      <c r="G36" s="88"/>
    </row>
    <row r="37" spans="1:8">
      <c r="C37" s="10"/>
      <c r="D37" s="10"/>
      <c r="E37" s="10"/>
      <c r="F37" s="87"/>
      <c r="G37" s="88"/>
    </row>
    <row r="38" spans="1:8">
      <c r="C38" s="10"/>
      <c r="D38" s="10"/>
      <c r="E38" s="10"/>
      <c r="F38" s="87"/>
      <c r="G38" s="88"/>
    </row>
    <row r="39" spans="1:8">
      <c r="C39" s="10"/>
      <c r="D39" s="10"/>
      <c r="E39" s="10"/>
      <c r="F39" s="87"/>
      <c r="G39" s="88"/>
    </row>
    <row r="40" spans="1:8">
      <c r="C40" s="11"/>
      <c r="D40" s="11"/>
      <c r="E40" s="11"/>
      <c r="F40" s="11"/>
      <c r="G40" s="86"/>
    </row>
    <row r="41" spans="1:8">
      <c r="G41" s="86"/>
    </row>
    <row r="42" spans="1:8" ht="42.75">
      <c r="A42" s="32" t="s">
        <v>1</v>
      </c>
      <c r="B42" s="83" t="s">
        <v>2</v>
      </c>
      <c r="C42" s="80" t="s">
        <v>46</v>
      </c>
      <c r="D42" s="3" t="s">
        <v>274</v>
      </c>
      <c r="E42" s="80" t="s">
        <v>6</v>
      </c>
      <c r="F42" s="3" t="s">
        <v>84</v>
      </c>
      <c r="G42"/>
    </row>
    <row r="43" spans="1:8" ht="18.75">
      <c r="A43" s="104" t="s">
        <v>98</v>
      </c>
      <c r="B43" s="84" t="s">
        <v>32</v>
      </c>
      <c r="C43" s="85" t="s">
        <v>32</v>
      </c>
      <c r="D43" s="85" t="s">
        <v>32</v>
      </c>
      <c r="E43" s="85" t="s">
        <v>32</v>
      </c>
      <c r="F43" s="86"/>
      <c r="G43"/>
    </row>
    <row r="44" spans="1:8">
      <c r="A44" t="s">
        <v>99</v>
      </c>
      <c r="B44" s="128">
        <f>7224+32</f>
        <v>7256</v>
      </c>
      <c r="C44" s="10">
        <v>56</v>
      </c>
      <c r="D44" s="10">
        <v>60</v>
      </c>
      <c r="E44" s="128">
        <f t="shared" ref="E44:E56" si="2">SUM(B44:D44)</f>
        <v>7372</v>
      </c>
      <c r="F44" s="144">
        <f>E44/4</f>
        <v>1843</v>
      </c>
      <c r="G44"/>
      <c r="H44" s="146"/>
    </row>
    <row r="45" spans="1:8">
      <c r="A45" t="s">
        <v>100</v>
      </c>
      <c r="B45" s="128">
        <f>6501.6+32</f>
        <v>6533.6</v>
      </c>
      <c r="C45" s="10">
        <v>56</v>
      </c>
      <c r="D45" s="10">
        <v>60</v>
      </c>
      <c r="E45" s="128">
        <f t="shared" si="2"/>
        <v>6649.6</v>
      </c>
      <c r="F45" s="144">
        <f>E45/4</f>
        <v>1662.4</v>
      </c>
      <c r="G45"/>
    </row>
    <row r="46" spans="1:8">
      <c r="A46" s="37" t="s">
        <v>88</v>
      </c>
      <c r="B46" s="141">
        <f>8024+32</f>
        <v>8056</v>
      </c>
      <c r="C46" s="38">
        <v>56</v>
      </c>
      <c r="D46" s="10">
        <v>60</v>
      </c>
      <c r="E46" s="128">
        <f t="shared" si="2"/>
        <v>8172</v>
      </c>
      <c r="F46" s="144">
        <f>E46/4</f>
        <v>2043</v>
      </c>
      <c r="G46"/>
    </row>
    <row r="47" spans="1:8">
      <c r="A47" s="37" t="s">
        <v>89</v>
      </c>
      <c r="B47" s="141">
        <f>7221.6+32</f>
        <v>7253.6</v>
      </c>
      <c r="C47" s="38">
        <v>56</v>
      </c>
      <c r="D47" s="10">
        <v>60</v>
      </c>
      <c r="E47" s="128">
        <f t="shared" si="2"/>
        <v>7369.6</v>
      </c>
      <c r="F47" s="144">
        <v>1819.4</v>
      </c>
      <c r="G47"/>
    </row>
    <row r="48" spans="1:8">
      <c r="A48" t="s">
        <v>92</v>
      </c>
      <c r="B48" s="128">
        <f>4012+16</f>
        <v>4028</v>
      </c>
      <c r="C48" s="10">
        <v>28</v>
      </c>
      <c r="D48" s="10">
        <v>30</v>
      </c>
      <c r="E48" s="128">
        <f t="shared" si="2"/>
        <v>4086</v>
      </c>
      <c r="F48" s="144">
        <f>E48/2</f>
        <v>2043</v>
      </c>
      <c r="G48"/>
    </row>
    <row r="49" spans="1:9">
      <c r="A49" t="s">
        <v>102</v>
      </c>
      <c r="B49" s="128">
        <f>3610.8+16</f>
        <v>3626.8</v>
      </c>
      <c r="C49" s="10">
        <v>28</v>
      </c>
      <c r="D49" s="10">
        <v>30</v>
      </c>
      <c r="E49" s="128">
        <f t="shared" si="2"/>
        <v>3684.8</v>
      </c>
      <c r="F49" s="144">
        <v>1819.4</v>
      </c>
      <c r="G49"/>
    </row>
    <row r="50" spans="1:9">
      <c r="A50" t="s">
        <v>94</v>
      </c>
      <c r="B50" s="128">
        <f>7224+32</f>
        <v>7256</v>
      </c>
      <c r="C50" s="10">
        <v>56</v>
      </c>
      <c r="D50" s="10">
        <v>60</v>
      </c>
      <c r="E50" s="128">
        <f t="shared" si="2"/>
        <v>7372</v>
      </c>
      <c r="F50" s="144">
        <f>E50/4</f>
        <v>1843</v>
      </c>
      <c r="G50"/>
    </row>
    <row r="51" spans="1:9">
      <c r="A51" t="s">
        <v>95</v>
      </c>
      <c r="B51" s="128">
        <f>6501.6+32</f>
        <v>6533.6</v>
      </c>
      <c r="C51" s="10">
        <v>56</v>
      </c>
      <c r="D51" s="10">
        <v>60</v>
      </c>
      <c r="E51" s="128">
        <f t="shared" si="2"/>
        <v>6649.6</v>
      </c>
      <c r="F51" s="144">
        <f>E51/4</f>
        <v>1662.4</v>
      </c>
      <c r="G51"/>
    </row>
    <row r="52" spans="1:9">
      <c r="A52" s="91" t="s">
        <v>90</v>
      </c>
      <c r="B52" s="128">
        <f>4012+16</f>
        <v>4028</v>
      </c>
      <c r="C52" s="10">
        <v>28</v>
      </c>
      <c r="D52" s="10">
        <v>30</v>
      </c>
      <c r="E52" s="128">
        <f t="shared" si="2"/>
        <v>4086</v>
      </c>
      <c r="F52" s="144">
        <f>E52/2</f>
        <v>2043</v>
      </c>
      <c r="G52"/>
    </row>
    <row r="53" spans="1:9">
      <c r="A53" s="91" t="s">
        <v>101</v>
      </c>
      <c r="B53" s="128">
        <f>3610.8+16</f>
        <v>3626.8</v>
      </c>
      <c r="C53" s="10">
        <v>28</v>
      </c>
      <c r="D53" s="10">
        <v>30</v>
      </c>
      <c r="E53" s="128">
        <f t="shared" si="2"/>
        <v>3684.8</v>
      </c>
      <c r="F53" s="144">
        <v>1819.4</v>
      </c>
      <c r="G53"/>
    </row>
    <row r="54" spans="1:9">
      <c r="A54" t="s">
        <v>96</v>
      </c>
      <c r="B54" s="128">
        <f>7224+32</f>
        <v>7256</v>
      </c>
      <c r="C54" s="10">
        <v>56</v>
      </c>
      <c r="D54" s="10">
        <v>60</v>
      </c>
      <c r="E54" s="128">
        <f t="shared" si="2"/>
        <v>7372</v>
      </c>
      <c r="F54" s="144">
        <f>E54/4</f>
        <v>1843</v>
      </c>
      <c r="G54"/>
    </row>
    <row r="55" spans="1:9">
      <c r="A55" t="s">
        <v>97</v>
      </c>
      <c r="B55" s="128">
        <f>6501.6+32</f>
        <v>6533.6</v>
      </c>
      <c r="C55" s="10">
        <v>56</v>
      </c>
      <c r="D55" s="10">
        <v>60</v>
      </c>
      <c r="E55" s="128">
        <f t="shared" si="2"/>
        <v>6649.6</v>
      </c>
      <c r="F55" s="144">
        <f>E55/4</f>
        <v>1662.4</v>
      </c>
      <c r="G55"/>
    </row>
    <row r="56" spans="1:9">
      <c r="A56" t="s">
        <v>168</v>
      </c>
      <c r="B56" s="128">
        <f>4012+16</f>
        <v>4028</v>
      </c>
      <c r="C56" s="10">
        <v>28</v>
      </c>
      <c r="D56" s="10">
        <v>30</v>
      </c>
      <c r="E56" s="128">
        <f t="shared" si="2"/>
        <v>4086</v>
      </c>
      <c r="F56" s="144">
        <f>E56/2</f>
        <v>2043</v>
      </c>
      <c r="G56"/>
    </row>
    <row r="63" spans="1:9" ht="31.5">
      <c r="A63" s="226" t="s">
        <v>205</v>
      </c>
      <c r="B63" s="226"/>
      <c r="C63" s="226"/>
      <c r="D63" s="226"/>
      <c r="E63" s="226"/>
      <c r="F63" s="226"/>
      <c r="G63" s="226"/>
      <c r="H63" s="155"/>
      <c r="I63" s="155"/>
    </row>
    <row r="64" spans="1:9">
      <c r="G64"/>
    </row>
    <row r="65" spans="1:10" ht="20.25">
      <c r="A65" s="203" t="s">
        <v>256</v>
      </c>
      <c r="B65" s="203"/>
      <c r="C65" s="203"/>
      <c r="D65" s="203"/>
      <c r="E65" s="203"/>
      <c r="F65" s="203"/>
      <c r="G65" s="203"/>
      <c r="H65" s="93"/>
      <c r="I65" s="93"/>
      <c r="J65" s="93"/>
    </row>
    <row r="66" spans="1:10">
      <c r="G66"/>
    </row>
    <row r="67" spans="1:10" ht="31.5">
      <c r="A67" s="7"/>
      <c r="B67" s="1" t="s">
        <v>45</v>
      </c>
      <c r="C67" s="30" t="s">
        <v>46</v>
      </c>
      <c r="D67" s="3" t="s">
        <v>274</v>
      </c>
      <c r="E67" s="4" t="s">
        <v>6</v>
      </c>
      <c r="F67" s="116" t="s">
        <v>84</v>
      </c>
      <c r="G67"/>
      <c r="H67" s="116"/>
    </row>
    <row r="68" spans="1:10" ht="17.25">
      <c r="A68" s="7"/>
      <c r="B68" s="23" t="s">
        <v>8</v>
      </c>
      <c r="C68" s="23" t="s">
        <v>8</v>
      </c>
      <c r="D68" s="6" t="s">
        <v>8</v>
      </c>
      <c r="E68" s="23" t="s">
        <v>8</v>
      </c>
      <c r="F68" s="154" t="s">
        <v>8</v>
      </c>
      <c r="G68"/>
      <c r="H68" s="154"/>
      <c r="I68" s="32"/>
    </row>
    <row r="69" spans="1:10" ht="15.75">
      <c r="A69" s="15" t="s">
        <v>232</v>
      </c>
      <c r="B69" s="134">
        <f>(12245*1.05)+200</f>
        <v>13057.25</v>
      </c>
      <c r="C69" s="126">
        <f>100*4</f>
        <v>400</v>
      </c>
      <c r="D69" s="184">
        <v>0</v>
      </c>
      <c r="E69" s="149">
        <f>SUM(B69:D69)</f>
        <v>13457.25</v>
      </c>
      <c r="F69" s="145">
        <f>(B69+C69+D69)/4</f>
        <v>3364.3125</v>
      </c>
      <c r="G69"/>
      <c r="H69" s="88"/>
      <c r="I69" s="32"/>
    </row>
    <row r="70" spans="1:10" ht="15.75">
      <c r="A70" s="15" t="s">
        <v>176</v>
      </c>
      <c r="B70" s="134">
        <f>(12720*1.05)+200</f>
        <v>13556</v>
      </c>
      <c r="C70" s="126">
        <f>100*4</f>
        <v>400</v>
      </c>
      <c r="D70" s="184">
        <v>0</v>
      </c>
      <c r="E70" s="149">
        <f>SUM(B70:D70)</f>
        <v>13956</v>
      </c>
      <c r="F70" s="145">
        <f>(B70+C70+D70)/4</f>
        <v>3489</v>
      </c>
      <c r="G70"/>
      <c r="H70" s="88"/>
      <c r="I70" s="32"/>
    </row>
    <row r="71" spans="1:10" ht="15.75">
      <c r="A71" s="105"/>
      <c r="B71" s="106"/>
      <c r="C71" s="108"/>
      <c r="D71" s="109"/>
      <c r="E71" s="109"/>
      <c r="F71" s="107"/>
      <c r="G71" s="106"/>
      <c r="H71" s="106"/>
    </row>
  </sheetData>
  <mergeCells count="5">
    <mergeCell ref="A1:G1"/>
    <mergeCell ref="A2:G2"/>
    <mergeCell ref="A3:G3"/>
    <mergeCell ref="A63:G63"/>
    <mergeCell ref="A65:G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DD7E-C793-4E1D-A819-455C87434529}">
  <dimension ref="A1:L72"/>
  <sheetViews>
    <sheetView workbookViewId="0">
      <selection activeCell="E5" sqref="E5"/>
    </sheetView>
  </sheetViews>
  <sheetFormatPr defaultRowHeight="15"/>
  <cols>
    <col min="1" max="1" width="57.42578125" bestFit="1" customWidth="1"/>
    <col min="2" max="2" width="3" customWidth="1"/>
    <col min="3" max="3" width="3.28515625" customWidth="1"/>
    <col min="4" max="4" width="10.140625" bestFit="1" customWidth="1"/>
    <col min="5" max="5" width="12.42578125" customWidth="1"/>
    <col min="6" max="6" width="12" customWidth="1"/>
    <col min="7" max="7" width="17" customWidth="1"/>
    <col min="8" max="8" width="14.5703125" customWidth="1"/>
    <col min="9" max="9" width="10.7109375" bestFit="1" customWidth="1"/>
    <col min="15" max="15" width="14.5703125" customWidth="1"/>
    <col min="16" max="16" width="12.5703125" customWidth="1"/>
  </cols>
  <sheetData>
    <row r="1" spans="1:12" ht="20.25">
      <c r="A1" s="210" t="s">
        <v>255</v>
      </c>
      <c r="B1" s="210"/>
      <c r="C1" s="210"/>
      <c r="D1" s="210"/>
      <c r="E1" s="210"/>
      <c r="F1" s="210"/>
      <c r="G1" s="210"/>
      <c r="H1" s="210"/>
      <c r="I1" s="210"/>
      <c r="J1" s="93"/>
      <c r="K1" s="93"/>
      <c r="L1" s="10"/>
    </row>
    <row r="2" spans="1:12" ht="21">
      <c r="A2" s="208" t="s">
        <v>49</v>
      </c>
      <c r="B2" s="208"/>
      <c r="C2" s="208"/>
      <c r="D2" s="208"/>
      <c r="E2" s="208"/>
      <c r="F2" s="208"/>
      <c r="G2" s="208"/>
      <c r="H2" s="208"/>
      <c r="I2" s="208"/>
      <c r="J2" s="95"/>
      <c r="K2" s="95"/>
      <c r="L2" s="10"/>
    </row>
    <row r="3" spans="1:12" ht="21">
      <c r="A3" s="208" t="s">
        <v>85</v>
      </c>
      <c r="B3" s="208"/>
      <c r="C3" s="208"/>
      <c r="D3" s="208"/>
      <c r="E3" s="208"/>
      <c r="F3" s="208"/>
      <c r="G3" s="208"/>
      <c r="H3" s="208"/>
      <c r="I3" s="208"/>
      <c r="J3" s="112"/>
      <c r="K3" s="95"/>
      <c r="L3" s="10"/>
    </row>
    <row r="4" spans="1:12" ht="37.5">
      <c r="D4" s="1" t="s">
        <v>2</v>
      </c>
      <c r="E4" s="162" t="s">
        <v>201</v>
      </c>
      <c r="F4" s="3" t="s">
        <v>274</v>
      </c>
      <c r="G4" s="4" t="s">
        <v>6</v>
      </c>
      <c r="H4" s="4"/>
      <c r="J4" s="10"/>
    </row>
    <row r="5" spans="1:12" ht="18.75">
      <c r="D5" s="201" t="s">
        <v>8</v>
      </c>
      <c r="E5" s="201" t="s">
        <v>8</v>
      </c>
      <c r="F5" s="201" t="s">
        <v>8</v>
      </c>
      <c r="G5" s="201" t="s">
        <v>8</v>
      </c>
      <c r="J5" s="10"/>
    </row>
    <row r="6" spans="1:12" ht="15.75">
      <c r="A6" s="25" t="s">
        <v>212</v>
      </c>
      <c r="B6" s="25"/>
      <c r="C6" s="34"/>
      <c r="D6" s="35">
        <v>3800</v>
      </c>
      <c r="E6" s="25">
        <v>200</v>
      </c>
      <c r="F6" s="25">
        <v>100</v>
      </c>
      <c r="G6" s="35">
        <f>SUM(D6:F6)</f>
        <v>4100</v>
      </c>
      <c r="H6" s="35"/>
      <c r="J6" s="10"/>
    </row>
    <row r="7" spans="1:12" ht="15.75">
      <c r="A7" s="25" t="s">
        <v>213</v>
      </c>
      <c r="B7" s="25"/>
      <c r="C7" s="25"/>
      <c r="D7" s="35">
        <v>3800</v>
      </c>
      <c r="E7" s="25">
        <v>200</v>
      </c>
      <c r="F7" s="25">
        <v>100</v>
      </c>
      <c r="G7" s="35">
        <f>SUM(D7:F7)</f>
        <v>4100</v>
      </c>
      <c r="H7" s="35"/>
      <c r="J7" s="10"/>
    </row>
    <row r="8" spans="1:12" ht="15.75">
      <c r="A8" s="25" t="s">
        <v>214</v>
      </c>
      <c r="B8" s="25"/>
      <c r="C8" s="25"/>
      <c r="D8" s="35">
        <v>3800</v>
      </c>
      <c r="E8" s="25">
        <v>200</v>
      </c>
      <c r="F8" s="25">
        <v>100</v>
      </c>
      <c r="G8" s="35">
        <f>SUM(D8:F8)</f>
        <v>4100</v>
      </c>
      <c r="H8" s="35"/>
      <c r="J8" s="10"/>
    </row>
    <row r="9" spans="1:12" ht="15.75">
      <c r="A9" s="25"/>
      <c r="B9" s="25"/>
      <c r="C9" s="25"/>
      <c r="D9" s="35"/>
      <c r="I9" s="11"/>
      <c r="J9" s="11"/>
      <c r="L9" s="10"/>
    </row>
    <row r="10" spans="1:12" ht="15.75">
      <c r="A10" s="25"/>
      <c r="B10" s="25"/>
      <c r="C10" s="25"/>
      <c r="D10" s="35"/>
      <c r="I10" s="11"/>
      <c r="J10" s="11"/>
      <c r="L10" s="10"/>
    </row>
    <row r="11" spans="1:12" ht="18.75">
      <c r="D11" s="201" t="s">
        <v>8</v>
      </c>
      <c r="E11" s="201" t="s">
        <v>8</v>
      </c>
      <c r="F11" s="201" t="s">
        <v>8</v>
      </c>
      <c r="G11" s="201" t="s">
        <v>8</v>
      </c>
      <c r="J11" s="10"/>
    </row>
    <row r="12" spans="1:12" ht="15.75">
      <c r="A12" s="25" t="s">
        <v>215</v>
      </c>
      <c r="B12" s="25"/>
      <c r="C12" s="34"/>
      <c r="D12" s="35">
        <v>5640</v>
      </c>
      <c r="E12" s="25">
        <v>200</v>
      </c>
      <c r="F12" s="25">
        <v>100</v>
      </c>
      <c r="G12" s="35">
        <f>SUM(D12:F12)</f>
        <v>5940</v>
      </c>
      <c r="H12" s="35"/>
      <c r="J12" s="10"/>
    </row>
    <row r="13" spans="1:12" ht="15.75">
      <c r="A13" s="156" t="s">
        <v>216</v>
      </c>
      <c r="B13" s="25"/>
      <c r="C13" s="25"/>
      <c r="D13" s="35">
        <v>5640</v>
      </c>
      <c r="E13" s="25">
        <v>200</v>
      </c>
      <c r="F13" s="25">
        <v>100</v>
      </c>
      <c r="G13" s="35">
        <f>SUM(D13:F13)</f>
        <v>5940</v>
      </c>
      <c r="H13" s="35"/>
      <c r="J13" s="10"/>
    </row>
    <row r="14" spans="1:12" ht="15.75">
      <c r="A14" s="25" t="s">
        <v>217</v>
      </c>
      <c r="B14" s="25"/>
      <c r="C14" s="25"/>
      <c r="D14" s="35">
        <v>5640</v>
      </c>
      <c r="E14" s="25">
        <v>200</v>
      </c>
      <c r="F14" s="25">
        <v>100</v>
      </c>
      <c r="G14" s="35">
        <f>SUM(D14:F14)</f>
        <v>5940</v>
      </c>
      <c r="H14" s="35"/>
      <c r="J14" s="10"/>
    </row>
    <row r="15" spans="1:12">
      <c r="L15" s="10"/>
    </row>
    <row r="16" spans="1:12">
      <c r="L16" s="10"/>
    </row>
    <row r="17" spans="1:12" ht="18.75">
      <c r="D17" s="201" t="s">
        <v>8</v>
      </c>
      <c r="E17" s="201" t="s">
        <v>8</v>
      </c>
      <c r="F17" s="201" t="s">
        <v>8</v>
      </c>
      <c r="G17" s="201" t="s">
        <v>8</v>
      </c>
      <c r="J17" s="10"/>
    </row>
    <row r="18" spans="1:12" ht="15.75">
      <c r="A18" s="25" t="s">
        <v>218</v>
      </c>
      <c r="B18" s="25"/>
      <c r="C18" s="34"/>
      <c r="D18" s="35">
        <v>6560</v>
      </c>
      <c r="E18" s="25">
        <v>200</v>
      </c>
      <c r="F18" s="25">
        <v>100</v>
      </c>
      <c r="G18" s="35">
        <f>SUM(D18:F18)</f>
        <v>6860</v>
      </c>
      <c r="H18" s="35"/>
      <c r="J18" s="10"/>
    </row>
    <row r="19" spans="1:12" ht="15.75">
      <c r="A19" s="156" t="s">
        <v>219</v>
      </c>
      <c r="B19" s="25"/>
      <c r="C19" s="25"/>
      <c r="D19" s="35">
        <v>6560</v>
      </c>
      <c r="E19" s="25">
        <v>200</v>
      </c>
      <c r="F19" s="25">
        <v>100</v>
      </c>
      <c r="G19" s="35">
        <f>SUM(D19:F19)</f>
        <v>6860</v>
      </c>
      <c r="H19" s="35"/>
      <c r="J19" s="10"/>
    </row>
    <row r="20" spans="1:12" ht="15.75">
      <c r="A20" s="25" t="s">
        <v>220</v>
      </c>
      <c r="B20" s="25"/>
      <c r="C20" s="25"/>
      <c r="D20" s="35">
        <v>6560</v>
      </c>
      <c r="E20" s="25">
        <v>200</v>
      </c>
      <c r="F20" s="25">
        <v>100</v>
      </c>
      <c r="G20" s="35">
        <f>SUM(D20:F20)</f>
        <v>6860</v>
      </c>
      <c r="H20" s="35"/>
      <c r="J20" s="10"/>
    </row>
    <row r="21" spans="1:12">
      <c r="L21" s="10"/>
    </row>
    <row r="22" spans="1:12">
      <c r="L22" s="10"/>
    </row>
    <row r="23" spans="1:12" ht="18.75">
      <c r="D23" s="201" t="s">
        <v>8</v>
      </c>
      <c r="E23" s="201" t="s">
        <v>8</v>
      </c>
      <c r="F23" s="201" t="s">
        <v>8</v>
      </c>
      <c r="G23" s="201" t="s">
        <v>8</v>
      </c>
      <c r="J23" s="10"/>
    </row>
    <row r="24" spans="1:12" ht="15.75">
      <c r="A24" s="25" t="s">
        <v>221</v>
      </c>
      <c r="B24" s="25"/>
      <c r="C24" s="34"/>
      <c r="D24" s="35">
        <v>8860</v>
      </c>
      <c r="E24" s="25">
        <v>200</v>
      </c>
      <c r="F24" s="25">
        <v>100</v>
      </c>
      <c r="G24" s="35">
        <f>SUM(D24:F24)</f>
        <v>9160</v>
      </c>
      <c r="H24" s="35"/>
      <c r="J24" s="10"/>
    </row>
    <row r="25" spans="1:12" ht="15.75">
      <c r="A25" s="156" t="s">
        <v>222</v>
      </c>
      <c r="B25" s="25"/>
      <c r="C25" s="25"/>
      <c r="D25" s="35">
        <v>8860</v>
      </c>
      <c r="E25" s="25">
        <v>200</v>
      </c>
      <c r="F25" s="25">
        <v>100</v>
      </c>
      <c r="G25" s="35">
        <f>SUM(D25:F25)</f>
        <v>9160</v>
      </c>
      <c r="H25" s="35"/>
      <c r="J25" s="10"/>
    </row>
    <row r="26" spans="1:12" ht="15.75">
      <c r="A26" s="25" t="s">
        <v>223</v>
      </c>
      <c r="B26" s="25"/>
      <c r="C26" s="25"/>
      <c r="D26" s="35">
        <v>8860</v>
      </c>
      <c r="E26" s="25">
        <v>200</v>
      </c>
      <c r="F26" s="25">
        <v>100</v>
      </c>
      <c r="G26" s="35">
        <f>SUM(D26:F26)</f>
        <v>9160</v>
      </c>
      <c r="H26" s="35"/>
      <c r="J26" s="10"/>
    </row>
    <row r="27" spans="1:12">
      <c r="L27" s="10"/>
    </row>
    <row r="28" spans="1:12">
      <c r="L28" s="10"/>
    </row>
    <row r="29" spans="1:12" ht="18.75">
      <c r="D29" s="201" t="s">
        <v>8</v>
      </c>
      <c r="E29" s="201" t="s">
        <v>8</v>
      </c>
      <c r="F29" s="201" t="s">
        <v>8</v>
      </c>
      <c r="G29" s="201" t="s">
        <v>8</v>
      </c>
      <c r="J29" s="10"/>
    </row>
    <row r="30" spans="1:12" ht="15.75">
      <c r="A30" s="25" t="s">
        <v>224</v>
      </c>
      <c r="B30" s="25"/>
      <c r="C30" s="34"/>
      <c r="D30" s="35">
        <v>10585</v>
      </c>
      <c r="E30" s="25">
        <v>200</v>
      </c>
      <c r="F30" s="25">
        <v>100</v>
      </c>
      <c r="G30" s="35">
        <f>SUM(D30:F30)</f>
        <v>10885</v>
      </c>
      <c r="H30" s="35"/>
      <c r="J30" s="10"/>
    </row>
    <row r="31" spans="1:12" ht="15.75">
      <c r="A31" s="156" t="s">
        <v>225</v>
      </c>
      <c r="B31" s="25"/>
      <c r="C31" s="25"/>
      <c r="D31" s="35">
        <v>10585</v>
      </c>
      <c r="E31" s="25">
        <v>200</v>
      </c>
      <c r="F31" s="25">
        <v>100</v>
      </c>
      <c r="G31" s="35">
        <f>SUM(D31:F31)</f>
        <v>10885</v>
      </c>
      <c r="H31" s="35"/>
      <c r="J31" s="10"/>
    </row>
    <row r="32" spans="1:12" ht="15.75">
      <c r="A32" s="25" t="s">
        <v>226</v>
      </c>
      <c r="B32" s="25"/>
      <c r="C32" s="25"/>
      <c r="D32" s="35">
        <v>10585</v>
      </c>
      <c r="E32" s="25">
        <v>200</v>
      </c>
      <c r="F32" s="25">
        <v>100</v>
      </c>
      <c r="G32" s="35">
        <f>SUM(D32:F32)</f>
        <v>10885</v>
      </c>
      <c r="H32" s="35"/>
      <c r="J32" s="10"/>
    </row>
    <row r="33" spans="1:12" ht="15.75">
      <c r="A33" s="25"/>
      <c r="B33" s="25"/>
      <c r="C33" s="25"/>
      <c r="D33" s="35"/>
      <c r="E33" s="25"/>
      <c r="F33" s="25"/>
      <c r="G33" s="25"/>
      <c r="H33" s="25"/>
      <c r="I33" s="35"/>
      <c r="J33" s="35"/>
      <c r="L33" s="10"/>
    </row>
    <row r="34" spans="1:12" ht="15.75">
      <c r="A34" s="25"/>
      <c r="B34" s="25"/>
      <c r="C34" s="25"/>
      <c r="D34" s="35"/>
      <c r="E34" s="25"/>
      <c r="F34" s="25"/>
      <c r="G34" s="25"/>
      <c r="H34" s="25"/>
      <c r="I34" s="35"/>
      <c r="J34" s="35"/>
      <c r="L34" s="10"/>
    </row>
    <row r="35" spans="1:12" ht="15.75">
      <c r="A35" s="25"/>
      <c r="B35" s="25"/>
      <c r="C35" s="25"/>
      <c r="D35" s="35"/>
      <c r="E35" s="25"/>
      <c r="F35" s="25"/>
      <c r="G35" s="25"/>
      <c r="H35" s="25"/>
      <c r="I35" s="35"/>
      <c r="J35" s="35"/>
      <c r="L35" s="10"/>
    </row>
    <row r="36" spans="1:12" ht="15.75">
      <c r="A36" s="25"/>
      <c r="B36" s="25"/>
      <c r="C36" s="25"/>
      <c r="D36" s="35"/>
      <c r="E36" s="25"/>
      <c r="F36" s="25"/>
      <c r="G36" s="25"/>
      <c r="H36" s="25"/>
      <c r="I36" s="35"/>
      <c r="J36" s="35"/>
      <c r="L36" s="10"/>
    </row>
    <row r="37" spans="1:12">
      <c r="L37" s="10"/>
    </row>
    <row r="38" spans="1:12">
      <c r="L38" s="10"/>
    </row>
    <row r="39" spans="1:12" ht="18.75">
      <c r="A39" s="204" t="s">
        <v>296</v>
      </c>
      <c r="B39" s="204"/>
      <c r="C39" s="204"/>
      <c r="D39" s="204"/>
      <c r="E39" s="204"/>
      <c r="F39" s="204"/>
      <c r="G39" s="204"/>
      <c r="H39" s="204"/>
      <c r="I39" s="204"/>
    </row>
    <row r="40" spans="1:12" ht="18.75">
      <c r="D40" s="4"/>
    </row>
    <row r="41" spans="1:12" ht="18.75">
      <c r="D41" s="33"/>
    </row>
    <row r="42" spans="1:12" ht="37.5">
      <c r="A42" s="25" t="s">
        <v>212</v>
      </c>
      <c r="B42" s="25"/>
      <c r="C42" s="34"/>
      <c r="D42" s="1" t="s">
        <v>2</v>
      </c>
      <c r="E42" s="162" t="s">
        <v>201</v>
      </c>
      <c r="F42" s="3" t="s">
        <v>274</v>
      </c>
      <c r="G42" s="4" t="s">
        <v>6</v>
      </c>
    </row>
    <row r="43" spans="1:12" ht="18">
      <c r="A43" s="156" t="s">
        <v>213</v>
      </c>
      <c r="B43" s="25"/>
      <c r="C43" s="25"/>
      <c r="D43" s="157" t="s">
        <v>32</v>
      </c>
      <c r="E43" s="158" t="s">
        <v>32</v>
      </c>
      <c r="F43" s="158" t="s">
        <v>32</v>
      </c>
      <c r="G43" s="158" t="s">
        <v>32</v>
      </c>
    </row>
    <row r="44" spans="1:12" ht="15.75">
      <c r="A44" s="25" t="s">
        <v>214</v>
      </c>
      <c r="B44" s="25"/>
      <c r="C44" s="25"/>
      <c r="D44" s="128">
        <f>(4900/9.8)+8+8</f>
        <v>516</v>
      </c>
      <c r="E44" s="128">
        <v>16</v>
      </c>
      <c r="F44" s="128">
        <v>15</v>
      </c>
      <c r="G44" s="159">
        <f>SUM(D44:F44)</f>
        <v>547</v>
      </c>
    </row>
    <row r="45" spans="1:12" ht="15.75">
      <c r="A45" s="25"/>
      <c r="B45" s="25"/>
      <c r="C45" s="25"/>
      <c r="D45" s="128">
        <f t="shared" ref="D45:D46" si="0">(4900/9.8)+8+8</f>
        <v>516</v>
      </c>
      <c r="E45" s="128">
        <v>16</v>
      </c>
      <c r="F45" s="128">
        <v>15</v>
      </c>
      <c r="G45" s="159">
        <f t="shared" ref="G45:G46" si="1">SUM(D45:F45)</f>
        <v>547</v>
      </c>
    </row>
    <row r="46" spans="1:12">
      <c r="D46" s="128">
        <f t="shared" si="0"/>
        <v>516</v>
      </c>
      <c r="E46" s="128">
        <v>16</v>
      </c>
      <c r="F46" s="128">
        <v>15</v>
      </c>
      <c r="G46" s="159">
        <f t="shared" si="1"/>
        <v>547</v>
      </c>
    </row>
    <row r="47" spans="1:12">
      <c r="D47" s="11"/>
      <c r="F47" s="10"/>
    </row>
    <row r="48" spans="1:12" ht="15.75">
      <c r="A48" s="25" t="s">
        <v>215</v>
      </c>
      <c r="B48" s="25"/>
      <c r="C48" s="34"/>
      <c r="F48" s="10"/>
      <c r="J48" s="115"/>
    </row>
    <row r="49" spans="1:7" ht="18">
      <c r="A49" s="156" t="s">
        <v>216</v>
      </c>
      <c r="B49" s="25"/>
      <c r="C49" s="25"/>
      <c r="D49" s="157" t="s">
        <v>32</v>
      </c>
      <c r="E49" s="158" t="s">
        <v>32</v>
      </c>
      <c r="F49" s="158" t="s">
        <v>32</v>
      </c>
      <c r="G49" s="158" t="s">
        <v>32</v>
      </c>
    </row>
    <row r="50" spans="1:7" ht="15.75">
      <c r="A50" s="25" t="s">
        <v>217</v>
      </c>
      <c r="B50" s="25"/>
      <c r="C50" s="25"/>
      <c r="D50" s="128">
        <f>(6250/9.8)+8+8</f>
        <v>653.75510204081627</v>
      </c>
      <c r="E50" s="128">
        <v>16</v>
      </c>
      <c r="F50" s="128">
        <v>15</v>
      </c>
      <c r="G50" s="159">
        <f>SUM(D50:F50)</f>
        <v>684.75510204081627</v>
      </c>
    </row>
    <row r="51" spans="1:7">
      <c r="D51" s="128">
        <f t="shared" ref="D51:D52" si="2">(6250/9.8)+8+8</f>
        <v>653.75510204081627</v>
      </c>
      <c r="E51" s="128">
        <v>16</v>
      </c>
      <c r="F51" s="128">
        <v>15</v>
      </c>
      <c r="G51" s="159">
        <f t="shared" ref="G51:G52" si="3">SUM(D51:F51)</f>
        <v>684.75510204081627</v>
      </c>
    </row>
    <row r="52" spans="1:7">
      <c r="D52" s="128">
        <f t="shared" si="2"/>
        <v>653.75510204081627</v>
      </c>
      <c r="E52" s="128">
        <v>16</v>
      </c>
      <c r="F52" s="128">
        <v>15</v>
      </c>
      <c r="G52" s="159">
        <f t="shared" si="3"/>
        <v>684.75510204081627</v>
      </c>
    </row>
    <row r="53" spans="1:7">
      <c r="F53" s="10"/>
    </row>
    <row r="54" spans="1:7">
      <c r="F54" s="10"/>
    </row>
    <row r="55" spans="1:7" ht="15.75">
      <c r="A55" s="25" t="s">
        <v>218</v>
      </c>
      <c r="B55" s="25"/>
      <c r="C55" s="34"/>
      <c r="F55" s="10"/>
    </row>
    <row r="56" spans="1:7" ht="18">
      <c r="A56" s="156" t="s">
        <v>219</v>
      </c>
      <c r="B56" s="25"/>
      <c r="C56" s="25"/>
      <c r="D56" s="157" t="s">
        <v>32</v>
      </c>
      <c r="E56" s="158" t="s">
        <v>32</v>
      </c>
      <c r="F56" s="158" t="s">
        <v>32</v>
      </c>
      <c r="G56" s="158" t="s">
        <v>32</v>
      </c>
    </row>
    <row r="57" spans="1:7" ht="15.75">
      <c r="A57" s="25" t="s">
        <v>220</v>
      </c>
      <c r="B57" s="25"/>
      <c r="C57" s="25"/>
      <c r="D57" s="128">
        <f>(7150/9.8)+8+8</f>
        <v>745.59183673469386</v>
      </c>
      <c r="E57" s="128">
        <v>16</v>
      </c>
      <c r="F57" s="146">
        <v>15</v>
      </c>
      <c r="G57" s="159">
        <f>SUM(D57:F57)</f>
        <v>776.59183673469386</v>
      </c>
    </row>
    <row r="58" spans="1:7">
      <c r="D58" s="128">
        <f t="shared" ref="D58:D59" si="4">(7150/9.8)+8+8</f>
        <v>745.59183673469386</v>
      </c>
      <c r="E58" s="128">
        <v>16</v>
      </c>
      <c r="F58" s="146">
        <v>15</v>
      </c>
      <c r="G58" s="159">
        <f t="shared" ref="G58:G59" si="5">SUM(D58:F58)</f>
        <v>776.59183673469386</v>
      </c>
    </row>
    <row r="59" spans="1:7">
      <c r="D59" s="128">
        <f t="shared" si="4"/>
        <v>745.59183673469386</v>
      </c>
      <c r="E59" s="128">
        <v>16</v>
      </c>
      <c r="F59" s="146">
        <v>15</v>
      </c>
      <c r="G59" s="159">
        <f t="shared" si="5"/>
        <v>776.59183673469386</v>
      </c>
    </row>
    <row r="60" spans="1:7">
      <c r="D60" s="10"/>
    </row>
    <row r="61" spans="1:7">
      <c r="F61" s="10"/>
    </row>
    <row r="62" spans="1:7" ht="15.75">
      <c r="A62" s="25" t="s">
        <v>221</v>
      </c>
      <c r="B62" s="25"/>
      <c r="C62" s="34"/>
      <c r="F62" s="10"/>
    </row>
    <row r="63" spans="1:7" ht="18">
      <c r="A63" s="156" t="s">
        <v>222</v>
      </c>
      <c r="B63" s="25"/>
      <c r="C63" s="25"/>
      <c r="D63" s="157" t="s">
        <v>32</v>
      </c>
      <c r="E63" s="158" t="s">
        <v>32</v>
      </c>
      <c r="F63" s="158" t="s">
        <v>32</v>
      </c>
      <c r="G63" s="158" t="s">
        <v>32</v>
      </c>
    </row>
    <row r="64" spans="1:7" ht="15.75">
      <c r="A64" s="25" t="s">
        <v>223</v>
      </c>
      <c r="B64" s="25"/>
      <c r="C64" s="25"/>
      <c r="D64" s="128">
        <f>(9150/9.8)+8+8</f>
        <v>949.67346938775506</v>
      </c>
      <c r="E64" s="146">
        <v>16</v>
      </c>
      <c r="F64" s="146">
        <v>15</v>
      </c>
      <c r="G64" s="159">
        <f>SUM(D64:F64)</f>
        <v>980.67346938775506</v>
      </c>
    </row>
    <row r="65" spans="1:9">
      <c r="D65" s="128">
        <f t="shared" ref="D65:D66" si="6">(9150/9.8)+8+8</f>
        <v>949.67346938775506</v>
      </c>
      <c r="E65" s="146">
        <v>16</v>
      </c>
      <c r="F65" s="146">
        <v>15</v>
      </c>
      <c r="G65" s="159">
        <f>SUM(D65:F65)</f>
        <v>980.67346938775506</v>
      </c>
      <c r="H65" s="10"/>
      <c r="I65" s="10"/>
    </row>
    <row r="66" spans="1:9">
      <c r="D66" s="128">
        <f t="shared" si="6"/>
        <v>949.67346938775506</v>
      </c>
      <c r="E66" s="146">
        <v>16</v>
      </c>
      <c r="F66" s="146">
        <v>15</v>
      </c>
      <c r="G66" s="159">
        <f>SUM(D66:F66)</f>
        <v>980.67346938775506</v>
      </c>
      <c r="H66" s="10"/>
      <c r="I66" s="10"/>
    </row>
    <row r="67" spans="1:9">
      <c r="H67" s="10"/>
      <c r="I67" s="10"/>
    </row>
    <row r="68" spans="1:9" ht="18">
      <c r="D68" s="157" t="s">
        <v>32</v>
      </c>
      <c r="E68" s="158" t="s">
        <v>32</v>
      </c>
      <c r="F68" s="158" t="s">
        <v>32</v>
      </c>
      <c r="G68" s="158" t="s">
        <v>32</v>
      </c>
    </row>
    <row r="69" spans="1:9" ht="15.75">
      <c r="A69" s="25" t="s">
        <v>224</v>
      </c>
      <c r="B69" s="25"/>
      <c r="C69" s="34"/>
      <c r="D69" s="128">
        <f>(12150/9.8)+8+8</f>
        <v>1255.7959183673468</v>
      </c>
      <c r="E69" s="146">
        <v>16</v>
      </c>
      <c r="F69" s="146">
        <v>15</v>
      </c>
      <c r="G69" s="159">
        <f>SUM(D69:F69)</f>
        <v>1286.7959183673468</v>
      </c>
    </row>
    <row r="70" spans="1:9" ht="15.75">
      <c r="A70" s="156" t="s">
        <v>225</v>
      </c>
      <c r="B70" s="25"/>
      <c r="C70" s="25"/>
      <c r="D70" s="128">
        <f t="shared" ref="D70:D71" si="7">(12150/9.8)+8+8</f>
        <v>1255.7959183673468</v>
      </c>
      <c r="E70" s="146">
        <v>16</v>
      </c>
      <c r="F70" s="146">
        <v>15</v>
      </c>
      <c r="G70" s="159">
        <f>SUM(D70:F70)</f>
        <v>1286.7959183673468</v>
      </c>
    </row>
    <row r="71" spans="1:9" ht="15.75">
      <c r="A71" s="25" t="s">
        <v>226</v>
      </c>
      <c r="B71" s="25"/>
      <c r="C71" s="25"/>
      <c r="D71" s="128">
        <f t="shared" si="7"/>
        <v>1255.7959183673468</v>
      </c>
      <c r="E71" s="146">
        <v>16</v>
      </c>
      <c r="F71" s="146">
        <v>15</v>
      </c>
      <c r="G71" s="159">
        <f>SUM(D71:F71)</f>
        <v>1286.7959183673468</v>
      </c>
    </row>
    <row r="72" spans="1:9">
      <c r="F72" s="10"/>
    </row>
  </sheetData>
  <mergeCells count="4">
    <mergeCell ref="A1:I1"/>
    <mergeCell ref="A2:I2"/>
    <mergeCell ref="A3:I3"/>
    <mergeCell ref="A39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9"/>
  <sheetViews>
    <sheetView topLeftCell="A65" workbookViewId="0">
      <selection activeCell="F12" sqref="F12"/>
    </sheetView>
  </sheetViews>
  <sheetFormatPr defaultRowHeight="15"/>
  <cols>
    <col min="2" max="2" width="23.7109375" customWidth="1"/>
    <col min="3" max="3" width="13.7109375" customWidth="1"/>
    <col min="5" max="5" width="10.42578125" customWidth="1"/>
    <col min="6" max="7" width="10.5703125" customWidth="1"/>
    <col min="8" max="8" width="12" customWidth="1"/>
    <col min="9" max="9" width="12.28515625" customWidth="1"/>
    <col min="10" max="10" width="9.5703125" bestFit="1" customWidth="1"/>
    <col min="14" max="14" width="12.140625" customWidth="1"/>
    <col min="16" max="16" width="10" bestFit="1" customWidth="1"/>
    <col min="18" max="18" width="12.42578125" customWidth="1"/>
  </cols>
  <sheetData>
    <row r="1" spans="1:12" ht="20.25">
      <c r="A1" s="203" t="s">
        <v>255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2" ht="20.25">
      <c r="A2" s="203" t="s">
        <v>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2" ht="42.75">
      <c r="A3" s="202" t="s">
        <v>1</v>
      </c>
      <c r="B3" s="202"/>
      <c r="C3" s="1" t="s">
        <v>2</v>
      </c>
      <c r="D3" s="2" t="s">
        <v>3</v>
      </c>
      <c r="E3" s="3" t="s">
        <v>4</v>
      </c>
      <c r="F3" s="3" t="s">
        <v>274</v>
      </c>
      <c r="G3" s="3" t="s">
        <v>5</v>
      </c>
      <c r="H3" s="4" t="s">
        <v>6</v>
      </c>
    </row>
    <row r="4" spans="1:12" ht="15.75">
      <c r="A4" s="5" t="s">
        <v>7</v>
      </c>
      <c r="C4" s="6" t="s">
        <v>8</v>
      </c>
      <c r="D4" s="6" t="s">
        <v>8</v>
      </c>
      <c r="E4" s="6" t="s">
        <v>8</v>
      </c>
      <c r="F4" s="6" t="s">
        <v>8</v>
      </c>
      <c r="G4" s="6" t="s">
        <v>8</v>
      </c>
      <c r="H4" s="6" t="s">
        <v>8</v>
      </c>
    </row>
    <row r="5" spans="1:12" ht="15.75">
      <c r="A5" s="7" t="s">
        <v>122</v>
      </c>
      <c r="C5" s="130">
        <f>(2289.6*1.05)+100</f>
        <v>2504.08</v>
      </c>
      <c r="D5" s="9">
        <v>80</v>
      </c>
      <c r="E5" s="9">
        <v>20</v>
      </c>
      <c r="F5" s="9">
        <v>100</v>
      </c>
      <c r="G5" s="10">
        <v>0</v>
      </c>
      <c r="H5" s="130">
        <f t="shared" ref="H5:H11" si="0">SUM(C5:G5)</f>
        <v>2704.08</v>
      </c>
    </row>
    <row r="6" spans="1:12" ht="15.75">
      <c r="A6" s="7" t="s">
        <v>123</v>
      </c>
      <c r="C6" s="130">
        <f t="shared" ref="C6:C10" si="1">(2289.6*1.05)+100</f>
        <v>2504.08</v>
      </c>
      <c r="D6" s="9">
        <v>80</v>
      </c>
      <c r="E6" s="9">
        <v>20</v>
      </c>
      <c r="F6" s="9">
        <v>100</v>
      </c>
      <c r="G6" s="10">
        <v>0</v>
      </c>
      <c r="H6" s="130">
        <f t="shared" si="0"/>
        <v>2704.08</v>
      </c>
    </row>
    <row r="7" spans="1:12" ht="15.75">
      <c r="A7" s="7" t="s">
        <v>124</v>
      </c>
      <c r="C7" s="130">
        <f t="shared" si="1"/>
        <v>2504.08</v>
      </c>
      <c r="D7" s="9">
        <v>80</v>
      </c>
      <c r="E7" s="9">
        <v>20</v>
      </c>
      <c r="F7" s="9">
        <v>100</v>
      </c>
      <c r="G7" s="10">
        <v>0</v>
      </c>
      <c r="H7" s="130">
        <f t="shared" si="0"/>
        <v>2704.08</v>
      </c>
    </row>
    <row r="8" spans="1:12" ht="15.75">
      <c r="A8" s="7" t="s">
        <v>54</v>
      </c>
      <c r="C8" s="130">
        <f t="shared" si="1"/>
        <v>2504.08</v>
      </c>
      <c r="D8" s="9">
        <v>80</v>
      </c>
      <c r="E8" s="9">
        <v>20</v>
      </c>
      <c r="F8" s="9">
        <v>100</v>
      </c>
      <c r="G8" s="10">
        <v>0</v>
      </c>
      <c r="H8" s="130">
        <f t="shared" si="0"/>
        <v>2704.08</v>
      </c>
    </row>
    <row r="9" spans="1:12" ht="15.75">
      <c r="A9" s="7" t="s">
        <v>125</v>
      </c>
      <c r="C9" s="130">
        <f t="shared" si="1"/>
        <v>2504.08</v>
      </c>
      <c r="D9" s="9">
        <v>80</v>
      </c>
      <c r="E9" s="9">
        <v>20</v>
      </c>
      <c r="F9" s="9">
        <v>100</v>
      </c>
      <c r="G9" s="10">
        <v>0</v>
      </c>
      <c r="H9" s="130">
        <f t="shared" si="0"/>
        <v>2704.08</v>
      </c>
    </row>
    <row r="10" spans="1:12" ht="15.75">
      <c r="A10" s="7" t="s">
        <v>189</v>
      </c>
      <c r="C10" s="130">
        <f t="shared" si="1"/>
        <v>2504.08</v>
      </c>
      <c r="D10" s="9">
        <v>80</v>
      </c>
      <c r="E10" s="9">
        <v>20</v>
      </c>
      <c r="F10" s="9">
        <v>100</v>
      </c>
      <c r="G10" s="10">
        <v>0</v>
      </c>
      <c r="H10" s="130">
        <f t="shared" si="0"/>
        <v>2704.08</v>
      </c>
    </row>
    <row r="11" spans="1:12" ht="15.75">
      <c r="A11" t="s">
        <v>287</v>
      </c>
      <c r="C11" s="130">
        <f>(2438*1.05)+100</f>
        <v>2659.9</v>
      </c>
      <c r="D11" s="9">
        <v>80</v>
      </c>
      <c r="E11" s="9">
        <v>20</v>
      </c>
      <c r="F11" s="9">
        <v>100</v>
      </c>
      <c r="G11" s="10">
        <v>0</v>
      </c>
      <c r="H11" s="130">
        <f t="shared" si="0"/>
        <v>2859.9</v>
      </c>
    </row>
    <row r="12" spans="1:12" ht="15.75">
      <c r="A12" s="7"/>
      <c r="C12" s="163"/>
      <c r="D12" s="9"/>
      <c r="E12" s="9"/>
      <c r="G12" s="12"/>
      <c r="H12" s="8"/>
    </row>
    <row r="13" spans="1:12" ht="15.75">
      <c r="A13" s="5" t="s">
        <v>16</v>
      </c>
      <c r="C13" s="163"/>
      <c r="D13" s="13"/>
      <c r="E13" s="13"/>
      <c r="F13" s="13"/>
      <c r="G13" s="9"/>
      <c r="H13" s="9"/>
      <c r="I13" s="13"/>
      <c r="J13" s="8"/>
    </row>
    <row r="14" spans="1:12" ht="15.75">
      <c r="A14" s="7" t="s">
        <v>126</v>
      </c>
      <c r="C14" s="130">
        <f>(2713.6*1.05)+100</f>
        <v>2949.28</v>
      </c>
      <c r="D14" s="9">
        <v>80</v>
      </c>
      <c r="E14" s="9">
        <v>20</v>
      </c>
      <c r="F14" s="9">
        <v>100</v>
      </c>
      <c r="G14" s="14">
        <v>0</v>
      </c>
      <c r="H14" s="130">
        <f t="shared" ref="H14:H24" si="2">SUM(C14:G14)</f>
        <v>3149.28</v>
      </c>
      <c r="I14" t="s">
        <v>18</v>
      </c>
      <c r="J14" s="8"/>
      <c r="L14" s="10"/>
    </row>
    <row r="15" spans="1:12" s="16" customFormat="1" ht="15.75">
      <c r="A15" s="15" t="s">
        <v>127</v>
      </c>
      <c r="C15" s="131">
        <f>(2480.4*1.05)+100</f>
        <v>2704.42</v>
      </c>
      <c r="D15" s="9">
        <v>80</v>
      </c>
      <c r="E15" s="9">
        <v>20</v>
      </c>
      <c r="F15" s="9">
        <v>100</v>
      </c>
      <c r="G15" s="19">
        <v>0</v>
      </c>
      <c r="H15" s="130">
        <f t="shared" si="2"/>
        <v>2904.42</v>
      </c>
      <c r="J15" s="17"/>
      <c r="L15" s="10"/>
    </row>
    <row r="16" spans="1:12" ht="15.75">
      <c r="A16" s="7" t="s">
        <v>128</v>
      </c>
      <c r="C16" s="130">
        <f>(2851.4*1.05)+100</f>
        <v>3093.9700000000003</v>
      </c>
      <c r="D16" s="9">
        <v>80</v>
      </c>
      <c r="E16" s="9">
        <v>20</v>
      </c>
      <c r="F16" s="9">
        <v>100</v>
      </c>
      <c r="G16" s="14">
        <v>0</v>
      </c>
      <c r="H16" s="130">
        <f t="shared" si="2"/>
        <v>3293.9700000000003</v>
      </c>
      <c r="J16" s="8"/>
      <c r="L16" s="10"/>
    </row>
    <row r="17" spans="1:12" ht="15.75">
      <c r="A17" s="7" t="s">
        <v>129</v>
      </c>
      <c r="C17" s="130">
        <f>(2596.152*1.05)+100</f>
        <v>2825.9596000000001</v>
      </c>
      <c r="D17" s="9">
        <v>80</v>
      </c>
      <c r="E17" s="9">
        <v>20</v>
      </c>
      <c r="F17" s="9">
        <v>100</v>
      </c>
      <c r="G17" s="10">
        <v>0</v>
      </c>
      <c r="H17" s="130">
        <f t="shared" si="2"/>
        <v>3025.9596000000001</v>
      </c>
      <c r="J17" s="8"/>
      <c r="L17" s="10"/>
    </row>
    <row r="18" spans="1:12" ht="15.75">
      <c r="A18" s="7" t="s">
        <v>130</v>
      </c>
      <c r="C18" s="130">
        <f>(2713.6*1.05)+100</f>
        <v>2949.28</v>
      </c>
      <c r="D18" s="9">
        <v>80</v>
      </c>
      <c r="E18" s="9">
        <v>20</v>
      </c>
      <c r="F18" s="9">
        <v>100</v>
      </c>
      <c r="G18" s="10">
        <v>0</v>
      </c>
      <c r="H18" s="130">
        <f t="shared" si="2"/>
        <v>3149.28</v>
      </c>
      <c r="J18" s="8"/>
      <c r="L18" s="10"/>
    </row>
    <row r="19" spans="1:12" ht="15.75">
      <c r="A19" s="7" t="s">
        <v>131</v>
      </c>
      <c r="C19" s="130">
        <f>(2586.4*1.05)+100</f>
        <v>2815.7200000000003</v>
      </c>
      <c r="D19" s="9">
        <v>80</v>
      </c>
      <c r="E19" s="9">
        <v>20</v>
      </c>
      <c r="F19" s="9">
        <v>100</v>
      </c>
      <c r="G19" s="10">
        <v>0</v>
      </c>
      <c r="H19" s="130">
        <f t="shared" si="2"/>
        <v>3015.7200000000003</v>
      </c>
      <c r="J19" s="8"/>
      <c r="L19" s="10"/>
    </row>
    <row r="20" spans="1:12" ht="15.75">
      <c r="A20" s="7" t="s">
        <v>132</v>
      </c>
      <c r="C20" s="130">
        <f>(2586.4*1.05)+100</f>
        <v>2815.7200000000003</v>
      </c>
      <c r="D20" s="9">
        <v>80</v>
      </c>
      <c r="E20" s="9">
        <v>20</v>
      </c>
      <c r="F20" s="9">
        <v>100</v>
      </c>
      <c r="G20" s="10">
        <v>0</v>
      </c>
      <c r="H20" s="130">
        <f t="shared" si="2"/>
        <v>3015.7200000000003</v>
      </c>
      <c r="J20" s="8"/>
      <c r="L20" s="10"/>
    </row>
    <row r="21" spans="1:12" ht="15.75">
      <c r="A21" s="7" t="s">
        <v>133</v>
      </c>
      <c r="C21" s="130">
        <f>(2586.4*1.05)+100</f>
        <v>2815.7200000000003</v>
      </c>
      <c r="D21" s="9">
        <v>80</v>
      </c>
      <c r="E21" s="9">
        <v>20</v>
      </c>
      <c r="F21" s="9">
        <v>100</v>
      </c>
      <c r="G21" s="10">
        <v>0</v>
      </c>
      <c r="H21" s="130">
        <f t="shared" si="2"/>
        <v>3015.7200000000003</v>
      </c>
      <c r="J21" s="8"/>
      <c r="L21" s="10"/>
    </row>
    <row r="22" spans="1:12" ht="15.75">
      <c r="A22" s="7" t="s">
        <v>134</v>
      </c>
      <c r="C22" s="130">
        <f>(2104.1*1.05)+100</f>
        <v>2309.3049999999998</v>
      </c>
      <c r="D22" s="9">
        <v>80</v>
      </c>
      <c r="E22" s="9">
        <v>20</v>
      </c>
      <c r="F22" s="9">
        <v>100</v>
      </c>
      <c r="G22" s="12">
        <v>0</v>
      </c>
      <c r="H22" s="130">
        <f t="shared" si="2"/>
        <v>2509.3049999999998</v>
      </c>
      <c r="J22" s="8"/>
      <c r="L22" s="10"/>
    </row>
    <row r="23" spans="1:12" ht="15.75">
      <c r="A23" s="7" t="s">
        <v>135</v>
      </c>
      <c r="C23" s="130">
        <f>(2104.1*1.05)+100</f>
        <v>2309.3049999999998</v>
      </c>
      <c r="D23" s="9">
        <v>80</v>
      </c>
      <c r="E23" s="9">
        <v>20</v>
      </c>
      <c r="F23" s="9">
        <v>100</v>
      </c>
      <c r="G23" s="12">
        <v>0</v>
      </c>
      <c r="H23" s="130">
        <f t="shared" si="2"/>
        <v>2509.3049999999998</v>
      </c>
      <c r="J23" s="8"/>
      <c r="L23" s="10"/>
    </row>
    <row r="24" spans="1:12" s="16" customFormat="1" ht="15.75">
      <c r="A24" s="15" t="s">
        <v>136</v>
      </c>
      <c r="C24" s="131">
        <f>(1998.1*1.05)+100</f>
        <v>2198.0050000000001</v>
      </c>
      <c r="D24" s="9">
        <v>80</v>
      </c>
      <c r="E24" s="9">
        <v>20</v>
      </c>
      <c r="F24" s="9">
        <v>100</v>
      </c>
      <c r="G24" s="20">
        <v>0</v>
      </c>
      <c r="H24" s="130">
        <f t="shared" si="2"/>
        <v>2398.0050000000001</v>
      </c>
      <c r="J24" s="17"/>
      <c r="L24" s="10"/>
    </row>
    <row r="25" spans="1:12" ht="15.75">
      <c r="A25" s="7"/>
      <c r="C25" s="163"/>
      <c r="D25" s="9"/>
      <c r="E25" s="9"/>
      <c r="F25" s="9"/>
      <c r="I25" s="10"/>
      <c r="J25" s="8"/>
    </row>
    <row r="26" spans="1:12" ht="15.75">
      <c r="A26" s="7"/>
      <c r="C26" s="163"/>
      <c r="D26" s="9"/>
      <c r="E26" s="9"/>
      <c r="F26" s="9"/>
      <c r="G26" s="9"/>
      <c r="H26" s="9"/>
      <c r="I26" s="14"/>
      <c r="J26" s="8"/>
    </row>
    <row r="27" spans="1:12" ht="15.75">
      <c r="A27" s="5" t="s">
        <v>29</v>
      </c>
      <c r="C27" s="163"/>
      <c r="D27" s="13"/>
      <c r="E27" s="13"/>
      <c r="F27" s="13"/>
      <c r="G27" s="9"/>
      <c r="H27" s="9"/>
      <c r="I27" s="13"/>
      <c r="J27" s="8"/>
    </row>
    <row r="28" spans="1:12" ht="15.75">
      <c r="A28" s="7" t="s">
        <v>50</v>
      </c>
      <c r="C28" s="163">
        <f>(5364.66*1.05)+100</f>
        <v>5732.893</v>
      </c>
      <c r="D28" s="9">
        <v>80</v>
      </c>
      <c r="E28" s="9">
        <v>20</v>
      </c>
      <c r="F28" s="9">
        <v>100</v>
      </c>
      <c r="G28" s="12">
        <v>0</v>
      </c>
      <c r="H28" s="130">
        <f>SUM(C28:G28)</f>
        <v>5932.893</v>
      </c>
    </row>
    <row r="29" spans="1:12" ht="15.75">
      <c r="A29" s="7"/>
      <c r="C29" s="13"/>
      <c r="D29" s="13"/>
      <c r="E29" s="13"/>
      <c r="F29" s="13"/>
      <c r="G29" s="9"/>
      <c r="H29" s="9"/>
      <c r="I29" s="13"/>
    </row>
    <row r="30" spans="1:12" ht="15.75">
      <c r="A30" s="7"/>
      <c r="C30" s="13"/>
      <c r="D30" s="13"/>
      <c r="E30" s="13"/>
      <c r="F30" s="13"/>
      <c r="G30" s="9"/>
      <c r="H30" s="9"/>
      <c r="I30" s="13"/>
    </row>
    <row r="31" spans="1:12">
      <c r="G31" s="13"/>
      <c r="H31" s="13"/>
    </row>
    <row r="36" spans="1:10" ht="20.25">
      <c r="A36" s="203" t="s">
        <v>256</v>
      </c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0" ht="20.25">
      <c r="A37" s="203" t="s">
        <v>31</v>
      </c>
      <c r="B37" s="203"/>
      <c r="C37" s="203"/>
      <c r="D37" s="203"/>
      <c r="E37" s="203"/>
      <c r="F37" s="203"/>
      <c r="G37" s="203"/>
      <c r="H37" s="203"/>
      <c r="I37" s="203"/>
      <c r="J37" s="203"/>
    </row>
    <row r="38" spans="1:10" ht="42.75">
      <c r="A38" s="202" t="s">
        <v>1</v>
      </c>
      <c r="B38" s="202"/>
      <c r="C38" s="1" t="s">
        <v>2</v>
      </c>
      <c r="D38" s="2" t="s">
        <v>3</v>
      </c>
      <c r="E38" s="3" t="s">
        <v>4</v>
      </c>
      <c r="F38" s="3" t="s">
        <v>274</v>
      </c>
      <c r="G38" s="3" t="s">
        <v>5</v>
      </c>
      <c r="H38" s="4" t="s">
        <v>6</v>
      </c>
    </row>
    <row r="39" spans="1:10" ht="15.75">
      <c r="A39" s="5" t="s">
        <v>7</v>
      </c>
      <c r="C39" s="23" t="s">
        <v>32</v>
      </c>
      <c r="D39" s="23" t="s">
        <v>32</v>
      </c>
      <c r="E39" s="23" t="s">
        <v>32</v>
      </c>
      <c r="F39" s="23" t="s">
        <v>32</v>
      </c>
      <c r="G39" s="23" t="s">
        <v>32</v>
      </c>
      <c r="H39" s="23" t="s">
        <v>32</v>
      </c>
    </row>
    <row r="40" spans="1:10" ht="15.75">
      <c r="A40" s="7" t="s">
        <v>122</v>
      </c>
      <c r="B40" s="16"/>
      <c r="C40" s="17">
        <f>1524+16</f>
        <v>1540</v>
      </c>
      <c r="D40" s="18">
        <v>9</v>
      </c>
      <c r="E40" s="18">
        <v>2</v>
      </c>
      <c r="F40" s="18">
        <v>15</v>
      </c>
      <c r="G40" s="20">
        <v>0</v>
      </c>
      <c r="H40" s="17">
        <f t="shared" ref="H40:H45" si="3">SUM(C40:G40)</f>
        <v>1566</v>
      </c>
    </row>
    <row r="41" spans="1:10" ht="15.75">
      <c r="A41" s="7" t="s">
        <v>123</v>
      </c>
      <c r="B41" s="16"/>
      <c r="C41" s="17">
        <f t="shared" ref="C41:C45" si="4">1524+16</f>
        <v>1540</v>
      </c>
      <c r="D41" s="18">
        <v>9</v>
      </c>
      <c r="E41" s="18">
        <v>2</v>
      </c>
      <c r="F41" s="18">
        <v>15</v>
      </c>
      <c r="G41" s="20">
        <v>0</v>
      </c>
      <c r="H41" s="17">
        <f t="shared" si="3"/>
        <v>1566</v>
      </c>
    </row>
    <row r="42" spans="1:10" ht="15.75">
      <c r="A42" s="7" t="s">
        <v>124</v>
      </c>
      <c r="B42" s="16"/>
      <c r="C42" s="17">
        <f t="shared" si="4"/>
        <v>1540</v>
      </c>
      <c r="D42" s="18">
        <v>9</v>
      </c>
      <c r="E42" s="18">
        <v>2</v>
      </c>
      <c r="F42" s="18">
        <v>15</v>
      </c>
      <c r="G42" s="20">
        <v>0</v>
      </c>
      <c r="H42" s="17">
        <f t="shared" si="3"/>
        <v>1566</v>
      </c>
    </row>
    <row r="43" spans="1:10" ht="15.75">
      <c r="A43" s="7" t="s">
        <v>54</v>
      </c>
      <c r="B43" s="16"/>
      <c r="C43" s="17">
        <f t="shared" si="4"/>
        <v>1540</v>
      </c>
      <c r="D43" s="18">
        <v>9</v>
      </c>
      <c r="E43" s="18">
        <v>2</v>
      </c>
      <c r="F43" s="18">
        <v>15</v>
      </c>
      <c r="G43" s="20">
        <v>0</v>
      </c>
      <c r="H43" s="17">
        <f t="shared" si="3"/>
        <v>1566</v>
      </c>
    </row>
    <row r="44" spans="1:10" ht="15.75">
      <c r="A44" s="7" t="s">
        <v>125</v>
      </c>
      <c r="B44" s="16"/>
      <c r="C44" s="17">
        <f t="shared" si="4"/>
        <v>1540</v>
      </c>
      <c r="D44" s="18">
        <v>9</v>
      </c>
      <c r="E44" s="18">
        <v>2</v>
      </c>
      <c r="F44" s="18">
        <v>15</v>
      </c>
      <c r="G44" s="20">
        <v>0</v>
      </c>
      <c r="H44" s="17">
        <f t="shared" si="3"/>
        <v>1566</v>
      </c>
    </row>
    <row r="45" spans="1:10" ht="15.75">
      <c r="A45" s="7" t="s">
        <v>189</v>
      </c>
      <c r="B45" s="16"/>
      <c r="C45" s="17">
        <f t="shared" si="4"/>
        <v>1540</v>
      </c>
      <c r="D45" s="18">
        <v>9</v>
      </c>
      <c r="E45" s="18">
        <v>2</v>
      </c>
      <c r="F45" s="18">
        <v>15</v>
      </c>
      <c r="G45" s="20">
        <v>0</v>
      </c>
      <c r="H45" s="17">
        <f t="shared" si="3"/>
        <v>1566</v>
      </c>
    </row>
    <row r="46" spans="1:10" ht="15.75">
      <c r="A46" s="7"/>
      <c r="C46" s="8"/>
      <c r="D46" s="9"/>
      <c r="E46" s="9"/>
      <c r="F46" s="9"/>
      <c r="I46" s="14"/>
      <c r="J46" s="17"/>
    </row>
    <row r="47" spans="1:10" ht="15.75">
      <c r="A47" s="7"/>
      <c r="C47" s="8"/>
      <c r="D47" s="9"/>
      <c r="E47" s="9"/>
      <c r="F47" s="9"/>
      <c r="I47" s="14"/>
      <c r="J47" s="17"/>
    </row>
    <row r="48" spans="1:10" ht="15.75">
      <c r="A48" s="5" t="s">
        <v>16</v>
      </c>
      <c r="C48" s="13"/>
      <c r="D48" s="13"/>
      <c r="E48" s="13"/>
      <c r="F48" s="13"/>
      <c r="I48" s="13"/>
      <c r="J48" s="17"/>
    </row>
    <row r="49" spans="1:12" s="16" customFormat="1" ht="15.75">
      <c r="A49" s="7" t="s">
        <v>126</v>
      </c>
      <c r="C49" s="17">
        <f>1469+16</f>
        <v>1485</v>
      </c>
      <c r="D49" s="18">
        <v>9</v>
      </c>
      <c r="E49" s="18">
        <v>2</v>
      </c>
      <c r="F49" s="18">
        <v>15</v>
      </c>
      <c r="G49" s="19">
        <v>0</v>
      </c>
      <c r="H49" s="17">
        <f t="shared" ref="H49:H59" si="5">SUM(C49:G49)</f>
        <v>1511</v>
      </c>
    </row>
    <row r="50" spans="1:12" s="16" customFormat="1" ht="15.75">
      <c r="A50" s="15" t="s">
        <v>127</v>
      </c>
      <c r="C50" s="17">
        <f>1349+16</f>
        <v>1365</v>
      </c>
      <c r="D50" s="18">
        <v>9</v>
      </c>
      <c r="E50" s="18">
        <v>2</v>
      </c>
      <c r="F50" s="18">
        <v>15</v>
      </c>
      <c r="G50" s="19">
        <v>0</v>
      </c>
      <c r="H50" s="17">
        <f t="shared" si="5"/>
        <v>1391</v>
      </c>
    </row>
    <row r="51" spans="1:12" s="16" customFormat="1" ht="15.75">
      <c r="A51" s="7" t="s">
        <v>128</v>
      </c>
      <c r="C51" s="17">
        <f>1349+16</f>
        <v>1365</v>
      </c>
      <c r="D51" s="18">
        <v>9</v>
      </c>
      <c r="E51" s="18">
        <v>2</v>
      </c>
      <c r="F51" s="18">
        <v>15</v>
      </c>
      <c r="G51" s="19">
        <v>0</v>
      </c>
      <c r="H51" s="17">
        <f t="shared" si="5"/>
        <v>1391</v>
      </c>
    </row>
    <row r="52" spans="1:12" s="16" customFormat="1" ht="15.75">
      <c r="A52" s="7" t="s">
        <v>129</v>
      </c>
      <c r="C52" s="17">
        <f>1382+16</f>
        <v>1398</v>
      </c>
      <c r="D52" s="18">
        <v>9</v>
      </c>
      <c r="E52" s="18">
        <v>2</v>
      </c>
      <c r="F52" s="18">
        <v>15</v>
      </c>
      <c r="G52" s="19">
        <v>0</v>
      </c>
      <c r="H52" s="17">
        <f t="shared" si="5"/>
        <v>1424</v>
      </c>
    </row>
    <row r="53" spans="1:12" s="16" customFormat="1" ht="15.75">
      <c r="A53" s="7" t="s">
        <v>130</v>
      </c>
      <c r="C53" s="17">
        <f>1469+16</f>
        <v>1485</v>
      </c>
      <c r="D53" s="18">
        <v>9</v>
      </c>
      <c r="E53" s="18">
        <v>2</v>
      </c>
      <c r="F53" s="18">
        <v>15</v>
      </c>
      <c r="G53" s="19">
        <v>0</v>
      </c>
      <c r="H53" s="17">
        <f t="shared" si="5"/>
        <v>1511</v>
      </c>
    </row>
    <row r="54" spans="1:12" s="16" customFormat="1" ht="15.75">
      <c r="A54" s="7" t="s">
        <v>131</v>
      </c>
      <c r="C54" s="17">
        <f>1369+16</f>
        <v>1385</v>
      </c>
      <c r="D54" s="18">
        <v>9</v>
      </c>
      <c r="E54" s="18">
        <v>2</v>
      </c>
      <c r="F54" s="18">
        <v>15</v>
      </c>
      <c r="G54" s="19">
        <v>0</v>
      </c>
      <c r="H54" s="17">
        <f t="shared" si="5"/>
        <v>1411</v>
      </c>
    </row>
    <row r="55" spans="1:12" s="16" customFormat="1" ht="15.75">
      <c r="A55" s="7" t="s">
        <v>132</v>
      </c>
      <c r="C55" s="17">
        <f>1369+16</f>
        <v>1385</v>
      </c>
      <c r="D55" s="18">
        <v>9</v>
      </c>
      <c r="E55" s="18">
        <v>2</v>
      </c>
      <c r="F55" s="18">
        <v>15</v>
      </c>
      <c r="G55" s="19">
        <v>0</v>
      </c>
      <c r="H55" s="17">
        <f t="shared" si="5"/>
        <v>1411</v>
      </c>
    </row>
    <row r="56" spans="1:12" s="16" customFormat="1" ht="15.75">
      <c r="A56" s="7" t="s">
        <v>133</v>
      </c>
      <c r="C56" s="17">
        <f>1369+16</f>
        <v>1385</v>
      </c>
      <c r="D56" s="18">
        <v>9</v>
      </c>
      <c r="E56" s="18">
        <v>2</v>
      </c>
      <c r="F56" s="18">
        <v>15</v>
      </c>
      <c r="G56" s="19">
        <v>0</v>
      </c>
      <c r="H56" s="17">
        <f t="shared" si="5"/>
        <v>1411</v>
      </c>
    </row>
    <row r="57" spans="1:12" ht="15.75">
      <c r="A57" s="7" t="s">
        <v>134</v>
      </c>
      <c r="B57" s="16"/>
      <c r="C57" s="17">
        <f>1369+16</f>
        <v>1385</v>
      </c>
      <c r="D57" s="18">
        <v>9</v>
      </c>
      <c r="E57" s="18">
        <v>2</v>
      </c>
      <c r="F57" s="18">
        <v>15</v>
      </c>
      <c r="G57" s="19">
        <v>0</v>
      </c>
      <c r="H57" s="17">
        <f t="shared" si="5"/>
        <v>1411</v>
      </c>
      <c r="I57" s="16"/>
      <c r="J57" s="16"/>
    </row>
    <row r="58" spans="1:12" ht="15.75">
      <c r="A58" s="7" t="s">
        <v>135</v>
      </c>
      <c r="B58" s="16"/>
      <c r="C58" s="17">
        <f>1369+16</f>
        <v>1385</v>
      </c>
      <c r="D58" s="18">
        <v>9</v>
      </c>
      <c r="E58" s="18">
        <v>2</v>
      </c>
      <c r="F58" s="18">
        <v>15</v>
      </c>
      <c r="G58" s="19">
        <v>0</v>
      </c>
      <c r="H58" s="17">
        <f t="shared" si="5"/>
        <v>1411</v>
      </c>
      <c r="I58" s="16"/>
      <c r="J58" s="16"/>
    </row>
    <row r="59" spans="1:12" ht="15.75">
      <c r="A59" s="15" t="s">
        <v>136</v>
      </c>
      <c r="B59" s="16"/>
      <c r="C59" s="17">
        <f>1349+16</f>
        <v>1365</v>
      </c>
      <c r="D59" s="18">
        <v>9</v>
      </c>
      <c r="E59" s="18">
        <v>2</v>
      </c>
      <c r="F59" s="18">
        <v>15</v>
      </c>
      <c r="G59" s="19">
        <v>0</v>
      </c>
      <c r="H59" s="17">
        <f t="shared" si="5"/>
        <v>1391</v>
      </c>
      <c r="I59" s="16"/>
      <c r="J59" s="16"/>
    </row>
    <row r="60" spans="1:12" ht="15.75">
      <c r="A60" s="15"/>
      <c r="B60" s="16"/>
      <c r="C60" s="17"/>
      <c r="D60" s="18"/>
      <c r="E60" s="18"/>
      <c r="F60" s="18"/>
      <c r="I60" s="19"/>
      <c r="J60" s="17"/>
      <c r="K60" s="16"/>
      <c r="L60" s="16"/>
    </row>
    <row r="61" spans="1:12" ht="15.75">
      <c r="A61" s="15"/>
      <c r="B61" s="16"/>
      <c r="C61" s="17"/>
      <c r="D61" s="18"/>
      <c r="E61" s="18"/>
      <c r="F61" s="18"/>
      <c r="I61" s="19"/>
      <c r="J61" s="17"/>
      <c r="K61" s="16"/>
      <c r="L61" s="16"/>
    </row>
    <row r="62" spans="1:12" ht="15.75">
      <c r="A62" s="5" t="s">
        <v>29</v>
      </c>
      <c r="C62" s="13"/>
      <c r="D62" s="13"/>
      <c r="E62" s="13"/>
      <c r="F62" s="13"/>
      <c r="I62" s="13"/>
      <c r="J62" s="17"/>
    </row>
    <row r="63" spans="1:12" ht="15.75">
      <c r="A63" s="7" t="s">
        <v>282</v>
      </c>
      <c r="C63" s="8">
        <f>3080+16</f>
        <v>3096</v>
      </c>
      <c r="D63" s="18">
        <v>9</v>
      </c>
      <c r="E63" s="18">
        <v>2</v>
      </c>
      <c r="F63" s="18">
        <v>15</v>
      </c>
      <c r="G63" s="12">
        <v>0</v>
      </c>
      <c r="H63" s="17">
        <f>SUM(C63:G63)</f>
        <v>3122</v>
      </c>
    </row>
    <row r="64" spans="1:12" ht="15.75">
      <c r="A64" s="7"/>
      <c r="C64" s="13"/>
      <c r="D64" s="13"/>
      <c r="E64" s="13"/>
      <c r="F64" s="13"/>
      <c r="G64" s="18"/>
      <c r="H64" s="18"/>
      <c r="I64" s="13"/>
    </row>
    <row r="65" spans="1:10" ht="15.75">
      <c r="A65" s="7"/>
      <c r="G65" s="18"/>
      <c r="H65" s="18"/>
    </row>
    <row r="66" spans="1:10" ht="15.75">
      <c r="G66" s="18"/>
      <c r="H66" s="18"/>
    </row>
    <row r="67" spans="1:10" ht="15.75">
      <c r="A67" s="22"/>
      <c r="G67" s="18"/>
      <c r="H67" s="18"/>
    </row>
    <row r="68" spans="1:10" ht="15.75">
      <c r="A68" s="22"/>
      <c r="G68" s="13"/>
      <c r="H68" s="13"/>
    </row>
    <row r="69" spans="1:10" ht="15.75">
      <c r="A69" s="22"/>
    </row>
    <row r="70" spans="1:10" ht="15.75">
      <c r="A70" s="22"/>
    </row>
    <row r="71" spans="1:10" ht="15.75">
      <c r="A71" s="22"/>
    </row>
    <row r="72" spans="1:10" ht="20.25">
      <c r="A72" s="203" t="s">
        <v>256</v>
      </c>
      <c r="B72" s="203"/>
      <c r="C72" s="203"/>
      <c r="D72" s="203"/>
      <c r="E72" s="203"/>
      <c r="F72" s="203"/>
      <c r="G72" s="203"/>
      <c r="H72" s="203"/>
      <c r="I72" s="203"/>
      <c r="J72" s="203"/>
    </row>
    <row r="73" spans="1:10" ht="23.25">
      <c r="A73" s="206" t="s">
        <v>44</v>
      </c>
      <c r="B73" s="206"/>
      <c r="C73" s="206"/>
      <c r="D73" s="206"/>
      <c r="E73" s="206"/>
      <c r="F73" s="206"/>
      <c r="G73" s="206"/>
      <c r="H73" s="206"/>
      <c r="I73" s="206"/>
      <c r="J73" s="206"/>
    </row>
    <row r="74" spans="1:10" ht="42.75">
      <c r="A74" s="202" t="s">
        <v>1</v>
      </c>
      <c r="B74" s="202"/>
      <c r="C74" s="1" t="s">
        <v>2</v>
      </c>
      <c r="D74" s="2" t="s">
        <v>3</v>
      </c>
      <c r="E74" s="3" t="s">
        <v>4</v>
      </c>
      <c r="F74" s="3" t="s">
        <v>274</v>
      </c>
      <c r="G74" s="3" t="s">
        <v>5</v>
      </c>
      <c r="H74" s="4" t="s">
        <v>6</v>
      </c>
    </row>
    <row r="75" spans="1:10" ht="15.75">
      <c r="A75" s="24" t="s">
        <v>7</v>
      </c>
      <c r="B75" s="25"/>
      <c r="C75" s="23" t="s">
        <v>8</v>
      </c>
      <c r="D75" s="23" t="s">
        <v>8</v>
      </c>
      <c r="E75" s="23" t="s">
        <v>8</v>
      </c>
      <c r="F75" s="6" t="s">
        <v>8</v>
      </c>
      <c r="G75" s="23" t="s">
        <v>8</v>
      </c>
      <c r="H75" s="23" t="s">
        <v>8</v>
      </c>
    </row>
    <row r="76" spans="1:10" ht="15.75">
      <c r="A76" s="7" t="s">
        <v>50</v>
      </c>
      <c r="C76" s="132">
        <f>(2078*1.05)+100</f>
        <v>2281.9</v>
      </c>
      <c r="D76" s="27">
        <v>80</v>
      </c>
      <c r="E76" s="13">
        <v>20</v>
      </c>
      <c r="F76" s="27">
        <v>0</v>
      </c>
      <c r="G76" s="27">
        <v>0</v>
      </c>
      <c r="H76" s="133">
        <f>SUM(C76:G76)</f>
        <v>2381.9</v>
      </c>
    </row>
    <row r="77" spans="1:10" ht="15.75">
      <c r="A77" s="7"/>
      <c r="C77" s="132"/>
      <c r="D77" s="27"/>
      <c r="E77" s="13"/>
      <c r="F77" s="13"/>
      <c r="G77" s="13"/>
      <c r="H77" s="13"/>
      <c r="I77" s="27"/>
      <c r="J77" s="133"/>
    </row>
    <row r="78" spans="1:10" ht="15.75">
      <c r="A78" s="7"/>
      <c r="C78" s="132"/>
      <c r="D78" s="27"/>
      <c r="E78" s="13"/>
      <c r="F78" s="13"/>
      <c r="G78" s="13"/>
      <c r="H78" s="13"/>
      <c r="I78" s="27"/>
      <c r="J78" s="133"/>
    </row>
    <row r="79" spans="1:10" ht="15.75">
      <c r="A79" s="7"/>
      <c r="C79" s="26"/>
      <c r="D79" s="29"/>
      <c r="E79" s="13"/>
      <c r="F79" s="29"/>
      <c r="I79" s="28"/>
    </row>
    <row r="80" spans="1:10" ht="15.75">
      <c r="A80" s="7"/>
      <c r="C80" s="26"/>
      <c r="D80" s="29"/>
      <c r="E80" s="13"/>
      <c r="F80" s="29"/>
      <c r="I80" s="28"/>
    </row>
    <row r="81" spans="1:10" ht="15.75">
      <c r="A81" s="7"/>
      <c r="C81" s="31"/>
    </row>
    <row r="82" spans="1:10" ht="15.75">
      <c r="A82" s="7"/>
      <c r="C82" s="31"/>
    </row>
    <row r="83" spans="1:10" ht="15.75">
      <c r="A83" s="7"/>
      <c r="C83" s="31"/>
      <c r="G83" s="29"/>
      <c r="H83" s="29"/>
    </row>
    <row r="84" spans="1:10" ht="20.25">
      <c r="A84" s="203" t="s">
        <v>255</v>
      </c>
      <c r="B84" s="203"/>
      <c r="C84" s="203"/>
      <c r="D84" s="203"/>
      <c r="E84" s="203"/>
      <c r="F84" s="203"/>
      <c r="G84" s="203"/>
      <c r="H84" s="203"/>
      <c r="I84" s="203"/>
      <c r="J84" s="203"/>
    </row>
    <row r="85" spans="1:10" ht="20.25">
      <c r="A85" s="203" t="s">
        <v>47</v>
      </c>
      <c r="B85" s="203"/>
      <c r="C85" s="203"/>
      <c r="D85" s="203"/>
      <c r="E85" s="203"/>
      <c r="F85" s="203"/>
      <c r="G85" s="203"/>
      <c r="H85" s="203"/>
      <c r="I85" s="203"/>
      <c r="J85" s="203"/>
    </row>
    <row r="86" spans="1:10" ht="42.75">
      <c r="A86" s="202" t="s">
        <v>1</v>
      </c>
      <c r="B86" s="202"/>
      <c r="C86" s="1" t="s">
        <v>2</v>
      </c>
      <c r="D86" s="2" t="s">
        <v>3</v>
      </c>
      <c r="E86" s="3" t="s">
        <v>4</v>
      </c>
      <c r="F86" s="3" t="s">
        <v>274</v>
      </c>
      <c r="G86" s="3" t="s">
        <v>5</v>
      </c>
      <c r="H86" s="4" t="s">
        <v>6</v>
      </c>
    </row>
    <row r="87" spans="1:10" ht="15.75">
      <c r="A87" s="24" t="s">
        <v>7</v>
      </c>
      <c r="B87" s="25"/>
      <c r="C87" s="23" t="s">
        <v>8</v>
      </c>
      <c r="D87" s="23" t="s">
        <v>8</v>
      </c>
      <c r="E87" s="23" t="s">
        <v>8</v>
      </c>
      <c r="F87" s="6" t="s">
        <v>8</v>
      </c>
      <c r="G87" s="23" t="s">
        <v>8</v>
      </c>
      <c r="H87" s="23" t="s">
        <v>8</v>
      </c>
    </row>
    <row r="88" spans="1:10" ht="15.75">
      <c r="A88" s="7" t="s">
        <v>281</v>
      </c>
      <c r="C88" s="26">
        <f>(1484*1.05)+100</f>
        <v>1658.2</v>
      </c>
      <c r="D88" s="26">
        <v>80</v>
      </c>
      <c r="E88" s="26">
        <v>20</v>
      </c>
      <c r="F88" s="31">
        <v>0</v>
      </c>
      <c r="G88" s="31">
        <v>0</v>
      </c>
      <c r="H88" s="26">
        <f>SUM(C88:G88)</f>
        <v>1758.2</v>
      </c>
    </row>
    <row r="92" spans="1:10" ht="20.25">
      <c r="A92" s="203" t="s">
        <v>256</v>
      </c>
      <c r="B92" s="203"/>
      <c r="C92" s="203"/>
      <c r="D92" s="203"/>
      <c r="E92" s="203"/>
      <c r="F92" s="203"/>
      <c r="G92" s="203"/>
      <c r="H92" s="203"/>
      <c r="I92" s="203"/>
    </row>
    <row r="93" spans="1:10" ht="18.75">
      <c r="A93" s="205" t="s">
        <v>48</v>
      </c>
      <c r="B93" s="205"/>
      <c r="C93" s="205"/>
      <c r="D93" s="205"/>
      <c r="E93" s="205"/>
      <c r="F93" s="205"/>
      <c r="G93" s="205"/>
      <c r="H93" s="205"/>
      <c r="I93" s="205"/>
    </row>
    <row r="94" spans="1:10" ht="42.75">
      <c r="A94" s="92"/>
      <c r="B94" s="92"/>
      <c r="C94" s="1" t="s">
        <v>2</v>
      </c>
      <c r="D94" s="2" t="s">
        <v>3</v>
      </c>
      <c r="E94" s="3" t="s">
        <v>4</v>
      </c>
      <c r="F94" s="3" t="s">
        <v>274</v>
      </c>
      <c r="G94" s="4" t="s">
        <v>6</v>
      </c>
    </row>
    <row r="95" spans="1:10" ht="15.75">
      <c r="A95" s="24" t="s">
        <v>7</v>
      </c>
      <c r="B95" s="25"/>
      <c r="C95" s="23" t="s">
        <v>32</v>
      </c>
      <c r="D95" s="23" t="s">
        <v>32</v>
      </c>
      <c r="E95" s="23" t="s">
        <v>32</v>
      </c>
      <c r="F95" s="23" t="s">
        <v>32</v>
      </c>
      <c r="G95" s="23" t="s">
        <v>32</v>
      </c>
    </row>
    <row r="96" spans="1:10" ht="15.75">
      <c r="A96" s="211" t="s">
        <v>190</v>
      </c>
      <c r="B96" s="211"/>
      <c r="C96" s="26">
        <f>439+16</f>
        <v>455</v>
      </c>
      <c r="D96" s="26">
        <v>9</v>
      </c>
      <c r="E96" s="26">
        <v>2</v>
      </c>
      <c r="F96" s="31">
        <v>0</v>
      </c>
      <c r="G96" s="26">
        <f>SUM(C96:F96)</f>
        <v>466</v>
      </c>
    </row>
    <row r="98" spans="1:9">
      <c r="G98" s="13"/>
      <c r="H98" s="13"/>
    </row>
    <row r="105" spans="1:9" ht="26.25">
      <c r="A105" s="207" t="s">
        <v>187</v>
      </c>
      <c r="B105" s="207"/>
      <c r="C105" s="207"/>
      <c r="D105" s="207"/>
      <c r="E105" s="207"/>
      <c r="F105" s="207"/>
      <c r="G105" s="207"/>
      <c r="H105" s="124"/>
      <c r="I105" s="124"/>
    </row>
    <row r="106" spans="1:9" ht="18.75">
      <c r="A106" s="205" t="s">
        <v>255</v>
      </c>
      <c r="B106" s="205"/>
      <c r="C106" s="205"/>
      <c r="D106" s="205"/>
      <c r="E106" s="205"/>
      <c r="F106" s="205"/>
      <c r="G106" s="205"/>
      <c r="H106" s="92"/>
      <c r="I106" s="92"/>
    </row>
    <row r="107" spans="1:9" ht="21">
      <c r="A107" s="208" t="s">
        <v>85</v>
      </c>
      <c r="B107" s="208"/>
      <c r="C107" s="208"/>
      <c r="D107" s="208"/>
      <c r="E107" s="208"/>
      <c r="F107" s="208"/>
      <c r="G107" s="208"/>
      <c r="H107" s="112"/>
      <c r="I107" s="112"/>
    </row>
    <row r="108" spans="1:9" ht="42.75">
      <c r="A108" s="112"/>
      <c r="B108" s="112"/>
      <c r="C108" s="1" t="s">
        <v>2</v>
      </c>
      <c r="D108" s="3" t="s">
        <v>202</v>
      </c>
      <c r="E108" s="3" t="s">
        <v>274</v>
      </c>
      <c r="F108" s="4" t="s">
        <v>6</v>
      </c>
    </row>
    <row r="109" spans="1:9" ht="21">
      <c r="A109" s="112"/>
      <c r="B109" s="112"/>
      <c r="C109" s="33" t="s">
        <v>8</v>
      </c>
      <c r="D109" s="33" t="s">
        <v>8</v>
      </c>
      <c r="E109" s="33" t="s">
        <v>8</v>
      </c>
      <c r="F109" s="33" t="s">
        <v>8</v>
      </c>
    </row>
    <row r="110" spans="1:9">
      <c r="A110" t="s">
        <v>185</v>
      </c>
      <c r="C110" s="128">
        <f>(2809*1.05)+100</f>
        <v>3049.4500000000003</v>
      </c>
      <c r="D110">
        <v>100</v>
      </c>
      <c r="E110">
        <v>100</v>
      </c>
      <c r="F110" s="159">
        <f>SUM(C110:E110)</f>
        <v>3249.4500000000003</v>
      </c>
    </row>
    <row r="111" spans="1:9">
      <c r="A111" t="s">
        <v>186</v>
      </c>
      <c r="C111" s="128">
        <f>(2809*1.05)+100</f>
        <v>3049.4500000000003</v>
      </c>
      <c r="D111">
        <v>100</v>
      </c>
      <c r="E111">
        <v>100</v>
      </c>
      <c r="F111" s="159">
        <f>SUM(C111:E111)</f>
        <v>3249.4500000000003</v>
      </c>
    </row>
    <row r="115" spans="1:9" ht="18.75">
      <c r="A115" s="204" t="s">
        <v>188</v>
      </c>
      <c r="B115" s="204"/>
      <c r="C115" s="204"/>
      <c r="D115" s="204"/>
      <c r="E115" s="204"/>
      <c r="F115" s="204"/>
      <c r="G115" s="204"/>
      <c r="H115" s="125"/>
      <c r="I115" s="125"/>
    </row>
    <row r="116" spans="1:9" ht="42.75">
      <c r="C116" s="122" t="s">
        <v>2</v>
      </c>
      <c r="D116" s="2" t="s">
        <v>3</v>
      </c>
      <c r="E116" s="3" t="s">
        <v>4</v>
      </c>
      <c r="F116" s="3" t="s">
        <v>274</v>
      </c>
      <c r="G116" s="118" t="s">
        <v>6</v>
      </c>
    </row>
    <row r="117" spans="1:9" ht="18.75">
      <c r="C117" s="123" t="s">
        <v>32</v>
      </c>
      <c r="D117" s="23" t="s">
        <v>32</v>
      </c>
      <c r="E117" s="23" t="s">
        <v>32</v>
      </c>
      <c r="F117" s="123" t="s">
        <v>32</v>
      </c>
      <c r="G117" s="123" t="s">
        <v>32</v>
      </c>
    </row>
    <row r="118" spans="1:9">
      <c r="A118" s="16" t="s">
        <v>185</v>
      </c>
      <c r="C118" s="175">
        <f>482+16</f>
        <v>498</v>
      </c>
      <c r="D118" s="132">
        <v>9</v>
      </c>
      <c r="E118" s="132">
        <v>2</v>
      </c>
      <c r="F118" s="128">
        <v>15</v>
      </c>
      <c r="G118" s="148">
        <f>SUM(C118:F118)</f>
        <v>524</v>
      </c>
    </row>
    <row r="119" spans="1:9">
      <c r="A119" s="16" t="s">
        <v>186</v>
      </c>
      <c r="C119" s="175">
        <f>482+16</f>
        <v>498</v>
      </c>
      <c r="D119" s="128">
        <v>9</v>
      </c>
      <c r="E119" s="128">
        <v>2</v>
      </c>
      <c r="F119" s="128">
        <v>15</v>
      </c>
      <c r="G119" s="148">
        <f>SUM(C119:F119)</f>
        <v>524</v>
      </c>
    </row>
  </sheetData>
  <mergeCells count="19">
    <mergeCell ref="A93:I93"/>
    <mergeCell ref="A105:G105"/>
    <mergeCell ref="A106:G106"/>
    <mergeCell ref="A107:G107"/>
    <mergeCell ref="A115:G115"/>
    <mergeCell ref="A96:B96"/>
    <mergeCell ref="A1:J1"/>
    <mergeCell ref="A2:J2"/>
    <mergeCell ref="A36:J36"/>
    <mergeCell ref="A37:J37"/>
    <mergeCell ref="A92:I92"/>
    <mergeCell ref="A74:B74"/>
    <mergeCell ref="A86:B86"/>
    <mergeCell ref="A72:J72"/>
    <mergeCell ref="A73:J73"/>
    <mergeCell ref="A84:J84"/>
    <mergeCell ref="A85:J85"/>
    <mergeCell ref="A38:B38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2"/>
  <sheetViews>
    <sheetView workbookViewId="0">
      <selection activeCell="C84" sqref="C84"/>
    </sheetView>
  </sheetViews>
  <sheetFormatPr defaultRowHeight="15"/>
  <cols>
    <col min="2" max="2" width="23.7109375" customWidth="1"/>
    <col min="3" max="3" width="13.7109375" customWidth="1"/>
    <col min="5" max="8" width="10.42578125" customWidth="1"/>
    <col min="9" max="9" width="10.5703125" customWidth="1"/>
    <col min="10" max="10" width="12.28515625" customWidth="1"/>
    <col min="17" max="17" width="10" bestFit="1" customWidth="1"/>
  </cols>
  <sheetData>
    <row r="1" spans="1:10" ht="20.25">
      <c r="A1" s="203" t="s">
        <v>255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20.25">
      <c r="A2" s="203" t="s">
        <v>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42.75">
      <c r="A3" s="202" t="s">
        <v>1</v>
      </c>
      <c r="B3" s="202"/>
      <c r="C3" s="1" t="s">
        <v>2</v>
      </c>
      <c r="D3" s="2" t="s">
        <v>3</v>
      </c>
      <c r="E3" s="3" t="s">
        <v>4</v>
      </c>
      <c r="F3" s="3" t="s">
        <v>274</v>
      </c>
      <c r="G3" s="3" t="s">
        <v>5</v>
      </c>
      <c r="H3" s="4" t="s">
        <v>6</v>
      </c>
    </row>
    <row r="4" spans="1:10" ht="15.75">
      <c r="A4" s="5" t="s">
        <v>7</v>
      </c>
      <c r="C4" s="6" t="s">
        <v>8</v>
      </c>
      <c r="D4" s="6" t="s">
        <v>8</v>
      </c>
      <c r="E4" s="6" t="s">
        <v>8</v>
      </c>
      <c r="F4" s="6" t="s">
        <v>8</v>
      </c>
      <c r="G4" s="6" t="s">
        <v>8</v>
      </c>
      <c r="H4" s="6" t="s">
        <v>8</v>
      </c>
    </row>
    <row r="5" spans="1:10" ht="15.75">
      <c r="A5" s="7" t="s">
        <v>103</v>
      </c>
      <c r="C5" s="130">
        <f>(2289.6*1.05)+100</f>
        <v>2504.08</v>
      </c>
      <c r="D5" s="9">
        <v>80</v>
      </c>
      <c r="E5" s="9">
        <v>20</v>
      </c>
      <c r="F5" s="9">
        <v>100</v>
      </c>
      <c r="G5" s="10">
        <v>0</v>
      </c>
      <c r="H5" s="130">
        <f t="shared" ref="H5:H11" si="0">SUM(C5:G5)</f>
        <v>2704.08</v>
      </c>
      <c r="J5" s="163"/>
    </row>
    <row r="6" spans="1:10" ht="15.75">
      <c r="A6" s="7" t="s">
        <v>104</v>
      </c>
      <c r="C6" s="130">
        <f t="shared" ref="C6:C10" si="1">(2289.6*1.05)+100</f>
        <v>2504.08</v>
      </c>
      <c r="D6" s="9">
        <v>80</v>
      </c>
      <c r="E6" s="9">
        <v>20</v>
      </c>
      <c r="F6" s="9">
        <v>100</v>
      </c>
      <c r="G6" s="10">
        <v>0</v>
      </c>
      <c r="H6" s="130">
        <f t="shared" si="0"/>
        <v>2704.08</v>
      </c>
    </row>
    <row r="7" spans="1:10" ht="15.75">
      <c r="A7" s="7" t="s">
        <v>105</v>
      </c>
      <c r="C7" s="130">
        <f t="shared" si="1"/>
        <v>2504.08</v>
      </c>
      <c r="D7" s="9">
        <v>80</v>
      </c>
      <c r="E7" s="9">
        <v>20</v>
      </c>
      <c r="F7" s="9">
        <v>100</v>
      </c>
      <c r="G7" s="10">
        <v>0</v>
      </c>
      <c r="H7" s="130">
        <f t="shared" si="0"/>
        <v>2704.08</v>
      </c>
    </row>
    <row r="8" spans="1:10" ht="15.75">
      <c r="A8" s="7" t="s">
        <v>106</v>
      </c>
      <c r="C8" s="130">
        <f t="shared" si="1"/>
        <v>2504.08</v>
      </c>
      <c r="D8" s="9">
        <v>80</v>
      </c>
      <c r="E8" s="9">
        <v>20</v>
      </c>
      <c r="F8" s="9">
        <v>100</v>
      </c>
      <c r="G8" s="10">
        <v>0</v>
      </c>
      <c r="H8" s="130">
        <f t="shared" si="0"/>
        <v>2704.08</v>
      </c>
    </row>
    <row r="9" spans="1:10" ht="15.75">
      <c r="A9" s="7" t="s">
        <v>107</v>
      </c>
      <c r="C9" s="130">
        <f t="shared" si="1"/>
        <v>2504.08</v>
      </c>
      <c r="D9" s="9">
        <v>80</v>
      </c>
      <c r="E9" s="9">
        <v>20</v>
      </c>
      <c r="F9" s="9">
        <v>100</v>
      </c>
      <c r="G9" s="10">
        <v>0</v>
      </c>
      <c r="H9" s="130">
        <f t="shared" si="0"/>
        <v>2704.08</v>
      </c>
    </row>
    <row r="10" spans="1:10" s="37" customFormat="1" ht="15.75">
      <c r="A10" s="36" t="s">
        <v>108</v>
      </c>
      <c r="C10" s="130">
        <f t="shared" si="1"/>
        <v>2504.08</v>
      </c>
      <c r="D10" s="9">
        <v>80</v>
      </c>
      <c r="E10" s="9">
        <v>20</v>
      </c>
      <c r="F10" s="9">
        <v>100</v>
      </c>
      <c r="G10" s="38">
        <v>0</v>
      </c>
      <c r="H10" s="130">
        <f t="shared" si="0"/>
        <v>2704.08</v>
      </c>
    </row>
    <row r="11" spans="1:10" s="37" customFormat="1" ht="15.75">
      <c r="A11" t="s">
        <v>287</v>
      </c>
      <c r="B11"/>
      <c r="C11" s="130">
        <f>(2438*1.05)+100</f>
        <v>2659.9</v>
      </c>
      <c r="D11" s="9">
        <v>80</v>
      </c>
      <c r="E11" s="9">
        <v>20</v>
      </c>
      <c r="F11" s="9">
        <v>100</v>
      </c>
      <c r="G11" s="10">
        <v>0</v>
      </c>
      <c r="H11" s="130">
        <f t="shared" si="0"/>
        <v>2859.9</v>
      </c>
    </row>
    <row r="12" spans="1:10" s="37" customFormat="1" ht="15.75">
      <c r="A12" s="36"/>
      <c r="C12" s="130"/>
      <c r="D12" s="9"/>
      <c r="E12" s="9"/>
      <c r="F12" s="9"/>
      <c r="G12" s="38"/>
      <c r="H12" s="130"/>
    </row>
    <row r="13" spans="1:10" ht="15.75">
      <c r="A13" s="7"/>
      <c r="C13" s="163"/>
      <c r="D13" s="9"/>
      <c r="E13" s="9"/>
      <c r="F13" s="9"/>
      <c r="G13" s="9"/>
      <c r="H13" s="9"/>
      <c r="I13" s="12"/>
      <c r="J13" s="8"/>
    </row>
    <row r="14" spans="1:10" ht="15.75">
      <c r="A14" s="5" t="s">
        <v>16</v>
      </c>
      <c r="C14" s="163"/>
      <c r="D14" s="13"/>
      <c r="E14" s="13"/>
      <c r="F14" s="13"/>
      <c r="G14" s="13"/>
      <c r="H14" s="13"/>
      <c r="I14" s="13"/>
      <c r="J14" s="8"/>
    </row>
    <row r="15" spans="1:10" ht="15.75">
      <c r="A15" s="7" t="s">
        <v>109</v>
      </c>
      <c r="C15" s="130">
        <f>(2713.6*1.05)+100</f>
        <v>2949.28</v>
      </c>
      <c r="D15" s="9">
        <v>80</v>
      </c>
      <c r="E15" s="9">
        <v>20</v>
      </c>
      <c r="F15" s="9">
        <v>100</v>
      </c>
      <c r="G15" s="14">
        <v>0</v>
      </c>
      <c r="H15" s="130">
        <f t="shared" ref="H15:H25" si="2">SUM(C15:G15)</f>
        <v>3149.28</v>
      </c>
    </row>
    <row r="16" spans="1:10" ht="15.75">
      <c r="A16" s="7" t="s">
        <v>110</v>
      </c>
      <c r="C16" s="131">
        <f>(2480.4*1.05)+100</f>
        <v>2704.42</v>
      </c>
      <c r="D16" s="9">
        <v>80</v>
      </c>
      <c r="E16" s="9">
        <v>20</v>
      </c>
      <c r="F16" s="9">
        <v>100</v>
      </c>
      <c r="G16" s="14">
        <v>0</v>
      </c>
      <c r="H16" s="130">
        <f t="shared" si="2"/>
        <v>2904.42</v>
      </c>
    </row>
    <row r="17" spans="1:10" ht="15.75">
      <c r="A17" s="7" t="s">
        <v>111</v>
      </c>
      <c r="C17" s="130">
        <f>(2851.4*1.05)+100</f>
        <v>3093.9700000000003</v>
      </c>
      <c r="D17" s="9">
        <v>80</v>
      </c>
      <c r="E17" s="9">
        <v>20</v>
      </c>
      <c r="F17" s="9">
        <v>100</v>
      </c>
      <c r="G17" s="14">
        <v>0</v>
      </c>
      <c r="H17" s="130">
        <f t="shared" si="2"/>
        <v>3293.9700000000003</v>
      </c>
    </row>
    <row r="18" spans="1:10" ht="15.75">
      <c r="A18" s="7" t="s">
        <v>112</v>
      </c>
      <c r="C18" s="130">
        <f>(2596.152*1.05)+100</f>
        <v>2825.9596000000001</v>
      </c>
      <c r="D18" s="9">
        <v>80</v>
      </c>
      <c r="E18" s="9">
        <v>20</v>
      </c>
      <c r="F18" s="9">
        <v>100</v>
      </c>
      <c r="G18" s="10">
        <v>0</v>
      </c>
      <c r="H18" s="130">
        <f t="shared" si="2"/>
        <v>3025.9596000000001</v>
      </c>
    </row>
    <row r="19" spans="1:10" ht="15.75">
      <c r="A19" s="7" t="s">
        <v>113</v>
      </c>
      <c r="C19" s="130">
        <f>(2713.6*1.05)+100</f>
        <v>2949.28</v>
      </c>
      <c r="D19" s="9">
        <v>80</v>
      </c>
      <c r="E19" s="9">
        <v>20</v>
      </c>
      <c r="F19" s="9">
        <v>100</v>
      </c>
      <c r="G19" s="10"/>
      <c r="H19" s="130">
        <f t="shared" si="2"/>
        <v>3149.28</v>
      </c>
    </row>
    <row r="20" spans="1:10" ht="15.75">
      <c r="A20" s="7" t="s">
        <v>114</v>
      </c>
      <c r="C20" s="130">
        <f>(2586.4*1.05)+100</f>
        <v>2815.7200000000003</v>
      </c>
      <c r="D20" s="9">
        <v>80</v>
      </c>
      <c r="E20" s="9">
        <v>20</v>
      </c>
      <c r="F20" s="9">
        <v>100</v>
      </c>
      <c r="G20" s="10">
        <v>0</v>
      </c>
      <c r="H20" s="130">
        <f t="shared" si="2"/>
        <v>3015.7200000000003</v>
      </c>
    </row>
    <row r="21" spans="1:10" ht="15.75">
      <c r="A21" s="7" t="s">
        <v>115</v>
      </c>
      <c r="C21" s="130">
        <f>(2586.4*1.05)+100</f>
        <v>2815.7200000000003</v>
      </c>
      <c r="D21" s="9">
        <v>80</v>
      </c>
      <c r="E21" s="9">
        <v>20</v>
      </c>
      <c r="F21" s="9">
        <v>100</v>
      </c>
      <c r="G21" s="10">
        <v>0</v>
      </c>
      <c r="H21" s="130">
        <f t="shared" si="2"/>
        <v>3015.7200000000003</v>
      </c>
    </row>
    <row r="22" spans="1:10" ht="15.75">
      <c r="A22" s="7" t="s">
        <v>116</v>
      </c>
      <c r="C22" s="130">
        <f>(2586.4*1.05)+100</f>
        <v>2815.7200000000003</v>
      </c>
      <c r="D22" s="9">
        <v>80</v>
      </c>
      <c r="E22" s="9">
        <v>20</v>
      </c>
      <c r="F22" s="9">
        <v>100</v>
      </c>
      <c r="G22" s="10">
        <v>0</v>
      </c>
      <c r="H22" s="130">
        <f t="shared" si="2"/>
        <v>3015.7200000000003</v>
      </c>
    </row>
    <row r="23" spans="1:10" ht="15.75">
      <c r="A23" s="7" t="s">
        <v>117</v>
      </c>
      <c r="C23" s="130">
        <f>(2104.1*1.05)+100</f>
        <v>2309.3049999999998</v>
      </c>
      <c r="D23" s="9">
        <v>80</v>
      </c>
      <c r="E23" s="9">
        <v>20</v>
      </c>
      <c r="F23" s="9">
        <v>100</v>
      </c>
      <c r="G23" s="12">
        <v>0</v>
      </c>
      <c r="H23" s="130">
        <f t="shared" si="2"/>
        <v>2509.3049999999998</v>
      </c>
    </row>
    <row r="24" spans="1:10" ht="15.75">
      <c r="A24" s="7" t="s">
        <v>118</v>
      </c>
      <c r="C24" s="130">
        <f>(2104.1*1.05)+100</f>
        <v>2309.3049999999998</v>
      </c>
      <c r="D24" s="9">
        <v>80</v>
      </c>
      <c r="E24" s="9">
        <v>20</v>
      </c>
      <c r="F24" s="9">
        <v>100</v>
      </c>
      <c r="G24" s="12">
        <v>0</v>
      </c>
      <c r="H24" s="130">
        <f t="shared" si="2"/>
        <v>2509.3049999999998</v>
      </c>
    </row>
    <row r="25" spans="1:10" ht="15.75">
      <c r="A25" s="7" t="s">
        <v>119</v>
      </c>
      <c r="C25" s="131">
        <f>(1998.1*1.05)+100</f>
        <v>2198.0050000000001</v>
      </c>
      <c r="D25" s="9">
        <v>80</v>
      </c>
      <c r="E25" s="9">
        <v>20</v>
      </c>
      <c r="F25" s="9">
        <v>100</v>
      </c>
      <c r="G25" s="12">
        <v>0</v>
      </c>
      <c r="H25" s="130">
        <f t="shared" si="2"/>
        <v>2398.0050000000001</v>
      </c>
    </row>
    <row r="26" spans="1:10" ht="15.75">
      <c r="A26" s="7"/>
      <c r="C26" s="163"/>
      <c r="D26" s="9"/>
      <c r="E26" s="9"/>
      <c r="F26" s="9"/>
      <c r="G26" s="9"/>
      <c r="H26" s="9"/>
      <c r="I26" s="10"/>
      <c r="J26" s="8"/>
    </row>
    <row r="27" spans="1:10" ht="15.75">
      <c r="A27" s="7"/>
      <c r="C27" s="163"/>
      <c r="D27" s="9"/>
      <c r="E27" s="9"/>
      <c r="F27" s="9"/>
      <c r="G27" s="9"/>
      <c r="H27" s="9"/>
      <c r="I27" s="14"/>
      <c r="J27" s="8"/>
    </row>
    <row r="28" spans="1:10" ht="15.75">
      <c r="A28" s="5" t="s">
        <v>29</v>
      </c>
      <c r="C28" s="163"/>
      <c r="D28" s="13"/>
      <c r="E28" s="13"/>
      <c r="F28" s="13"/>
      <c r="G28" s="13"/>
      <c r="H28" s="13"/>
      <c r="I28" s="13"/>
      <c r="J28" s="8"/>
    </row>
    <row r="29" spans="1:10" ht="15.75">
      <c r="A29" s="7" t="s">
        <v>120</v>
      </c>
      <c r="C29" s="163">
        <f>(5364.66*1.05)+100</f>
        <v>5732.893</v>
      </c>
      <c r="D29" s="9">
        <v>80</v>
      </c>
      <c r="E29" s="9">
        <v>20</v>
      </c>
      <c r="F29" s="9">
        <v>100</v>
      </c>
      <c r="G29" s="12">
        <v>0</v>
      </c>
      <c r="H29" s="130">
        <f>SUM(C29:G29)</f>
        <v>5932.893</v>
      </c>
    </row>
    <row r="30" spans="1:10" ht="15.75">
      <c r="A30" s="7"/>
      <c r="C30" s="13"/>
      <c r="D30" s="13"/>
      <c r="E30" s="13"/>
      <c r="F30" s="13"/>
      <c r="G30" s="13"/>
      <c r="H30" s="13"/>
      <c r="I30" s="13"/>
      <c r="J30" s="13"/>
    </row>
    <row r="31" spans="1:10" ht="15.75">
      <c r="A31" s="7"/>
      <c r="C31" s="13"/>
      <c r="D31" s="13"/>
      <c r="E31" s="13"/>
      <c r="F31" s="13"/>
      <c r="G31" s="13"/>
      <c r="H31" s="13"/>
      <c r="I31" s="13"/>
      <c r="J31" s="13"/>
    </row>
    <row r="36" spans="1:10" ht="20.25">
      <c r="A36" s="203" t="s">
        <v>255</v>
      </c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0" ht="20.25">
      <c r="A37" s="203" t="s">
        <v>31</v>
      </c>
      <c r="B37" s="203"/>
      <c r="C37" s="203"/>
      <c r="D37" s="203"/>
      <c r="E37" s="203"/>
      <c r="F37" s="203"/>
      <c r="G37" s="203"/>
      <c r="H37" s="203"/>
      <c r="I37" s="203"/>
      <c r="J37" s="203"/>
    </row>
    <row r="38" spans="1:10" ht="42.75">
      <c r="A38" s="202" t="s">
        <v>1</v>
      </c>
      <c r="B38" s="202"/>
      <c r="C38" s="1" t="s">
        <v>2</v>
      </c>
      <c r="D38" s="2" t="s">
        <v>3</v>
      </c>
      <c r="E38" s="3" t="s">
        <v>4</v>
      </c>
      <c r="F38" s="3" t="s">
        <v>274</v>
      </c>
      <c r="G38" s="3" t="s">
        <v>5</v>
      </c>
      <c r="H38" s="4" t="s">
        <v>6</v>
      </c>
    </row>
    <row r="39" spans="1:10" ht="15.75">
      <c r="A39" s="5" t="s">
        <v>7</v>
      </c>
      <c r="C39" s="23" t="s">
        <v>32</v>
      </c>
      <c r="D39" s="23" t="s">
        <v>32</v>
      </c>
      <c r="E39" s="23" t="s">
        <v>32</v>
      </c>
      <c r="F39" s="23" t="s">
        <v>32</v>
      </c>
      <c r="G39" s="23" t="s">
        <v>32</v>
      </c>
      <c r="H39" s="23" t="s">
        <v>32</v>
      </c>
    </row>
    <row r="40" spans="1:10" ht="15.75">
      <c r="A40" s="7" t="s">
        <v>103</v>
      </c>
      <c r="C40" s="17">
        <f>1524+16</f>
        <v>1540</v>
      </c>
      <c r="D40" s="9">
        <v>9</v>
      </c>
      <c r="E40" s="9">
        <v>2</v>
      </c>
      <c r="F40" s="9">
        <v>15</v>
      </c>
      <c r="G40" s="12">
        <v>0</v>
      </c>
      <c r="H40" s="8">
        <f t="shared" ref="H40:H45" si="3">SUM(C40:G40)</f>
        <v>1566</v>
      </c>
    </row>
    <row r="41" spans="1:10" ht="15.75">
      <c r="A41" s="7" t="s">
        <v>104</v>
      </c>
      <c r="C41" s="17">
        <f t="shared" ref="C41:C45" si="4">1524+16</f>
        <v>1540</v>
      </c>
      <c r="D41" s="9">
        <v>9</v>
      </c>
      <c r="E41" s="9">
        <v>2</v>
      </c>
      <c r="F41" s="9">
        <v>15</v>
      </c>
      <c r="G41" s="12">
        <v>0</v>
      </c>
      <c r="H41" s="8">
        <f t="shared" si="3"/>
        <v>1566</v>
      </c>
    </row>
    <row r="42" spans="1:10" ht="15.75">
      <c r="A42" s="7" t="s">
        <v>105</v>
      </c>
      <c r="C42" s="17">
        <f t="shared" si="4"/>
        <v>1540</v>
      </c>
      <c r="D42" s="9">
        <v>9</v>
      </c>
      <c r="E42" s="9">
        <v>2</v>
      </c>
      <c r="F42" s="9">
        <v>15</v>
      </c>
      <c r="G42" s="12">
        <v>0</v>
      </c>
      <c r="H42" s="8">
        <f t="shared" si="3"/>
        <v>1566</v>
      </c>
    </row>
    <row r="43" spans="1:10" ht="15.75">
      <c r="A43" s="7" t="s">
        <v>106</v>
      </c>
      <c r="C43" s="17">
        <f t="shared" si="4"/>
        <v>1540</v>
      </c>
      <c r="D43" s="9">
        <v>9</v>
      </c>
      <c r="E43" s="9">
        <v>2</v>
      </c>
      <c r="F43" s="9">
        <v>15</v>
      </c>
      <c r="G43" s="12">
        <v>0</v>
      </c>
      <c r="H43" s="8">
        <f t="shared" si="3"/>
        <v>1566</v>
      </c>
    </row>
    <row r="44" spans="1:10" ht="15.75">
      <c r="A44" s="7" t="s">
        <v>107</v>
      </c>
      <c r="C44" s="17">
        <f t="shared" si="4"/>
        <v>1540</v>
      </c>
      <c r="D44" s="9">
        <v>9</v>
      </c>
      <c r="E44" s="9">
        <v>2</v>
      </c>
      <c r="F44" s="9">
        <v>15</v>
      </c>
      <c r="G44" s="12">
        <v>0</v>
      </c>
      <c r="H44" s="8">
        <f t="shared" si="3"/>
        <v>1566</v>
      </c>
    </row>
    <row r="45" spans="1:10" ht="15.75">
      <c r="A45" s="36" t="s">
        <v>108</v>
      </c>
      <c r="B45" s="37"/>
      <c r="C45" s="17">
        <f t="shared" si="4"/>
        <v>1540</v>
      </c>
      <c r="D45" s="9">
        <v>9</v>
      </c>
      <c r="E45" s="9">
        <v>2</v>
      </c>
      <c r="F45" s="9">
        <v>15</v>
      </c>
      <c r="G45" s="39">
        <v>0</v>
      </c>
      <c r="H45" s="8">
        <f t="shared" si="3"/>
        <v>1566</v>
      </c>
    </row>
    <row r="46" spans="1:10" ht="15.75">
      <c r="A46" s="7"/>
      <c r="C46" s="8"/>
      <c r="D46" s="9"/>
      <c r="E46" s="9"/>
      <c r="F46" s="9"/>
      <c r="G46" s="9"/>
      <c r="H46" s="9"/>
      <c r="I46" s="14"/>
      <c r="J46" s="8"/>
    </row>
    <row r="47" spans="1:10" ht="15.75">
      <c r="A47" s="7"/>
      <c r="C47" s="8"/>
      <c r="D47" s="9"/>
      <c r="E47" s="9"/>
      <c r="F47" s="9"/>
      <c r="G47" s="9"/>
      <c r="H47" s="9"/>
      <c r="I47" s="14"/>
      <c r="J47" s="8"/>
    </row>
    <row r="48" spans="1:10" ht="15.75">
      <c r="A48" s="5" t="s">
        <v>16</v>
      </c>
      <c r="C48" s="13"/>
      <c r="D48" s="13"/>
      <c r="E48" s="13"/>
      <c r="F48" s="13"/>
      <c r="G48" s="13"/>
      <c r="H48" s="13"/>
      <c r="I48" s="13"/>
      <c r="J48" s="8"/>
    </row>
    <row r="49" spans="1:12" ht="15.75">
      <c r="A49" s="7" t="s">
        <v>109</v>
      </c>
      <c r="C49" s="17">
        <f>1469+16</f>
        <v>1485</v>
      </c>
      <c r="D49" s="9">
        <v>9</v>
      </c>
      <c r="E49" s="9">
        <v>2</v>
      </c>
      <c r="F49" s="9">
        <v>15</v>
      </c>
      <c r="G49" s="14">
        <v>0</v>
      </c>
      <c r="H49" s="8">
        <f t="shared" ref="H49:H59" si="5">SUM(C49:G49)</f>
        <v>1511</v>
      </c>
      <c r="L49" s="11"/>
    </row>
    <row r="50" spans="1:12" ht="15.75">
      <c r="A50" s="7" t="s">
        <v>110</v>
      </c>
      <c r="C50" s="17">
        <f>1349+16</f>
        <v>1365</v>
      </c>
      <c r="D50" s="9">
        <v>9</v>
      </c>
      <c r="E50" s="9">
        <v>2</v>
      </c>
      <c r="F50" s="9">
        <v>15</v>
      </c>
      <c r="G50" s="14"/>
      <c r="H50" s="8">
        <f t="shared" si="5"/>
        <v>1391</v>
      </c>
      <c r="L50" s="11"/>
    </row>
    <row r="51" spans="1:12" ht="15.75">
      <c r="A51" s="7" t="s">
        <v>111</v>
      </c>
      <c r="C51" s="17">
        <f>1349+16</f>
        <v>1365</v>
      </c>
      <c r="D51" s="9">
        <v>9</v>
      </c>
      <c r="E51" s="9">
        <v>2</v>
      </c>
      <c r="F51" s="9">
        <v>15</v>
      </c>
      <c r="G51" s="14"/>
      <c r="H51" s="8">
        <f t="shared" si="5"/>
        <v>1391</v>
      </c>
      <c r="L51" s="11"/>
    </row>
    <row r="52" spans="1:12" ht="15.75">
      <c r="A52" s="7" t="s">
        <v>112</v>
      </c>
      <c r="C52" s="17">
        <f>1382+16</f>
        <v>1398</v>
      </c>
      <c r="D52" s="9">
        <v>9</v>
      </c>
      <c r="E52" s="9">
        <v>2</v>
      </c>
      <c r="F52" s="9">
        <v>15</v>
      </c>
      <c r="G52" s="14">
        <v>0</v>
      </c>
      <c r="H52" s="8">
        <f t="shared" si="5"/>
        <v>1424</v>
      </c>
      <c r="L52" s="11"/>
    </row>
    <row r="53" spans="1:12" ht="15.75">
      <c r="A53" s="7" t="s">
        <v>113</v>
      </c>
      <c r="C53" s="17">
        <f>1469+16</f>
        <v>1485</v>
      </c>
      <c r="D53" s="9">
        <v>9</v>
      </c>
      <c r="E53" s="9">
        <v>2</v>
      </c>
      <c r="F53" s="9">
        <v>15</v>
      </c>
      <c r="G53" s="14">
        <v>0</v>
      </c>
      <c r="H53" s="8">
        <f t="shared" si="5"/>
        <v>1511</v>
      </c>
      <c r="L53" s="11"/>
    </row>
    <row r="54" spans="1:12" ht="15.75">
      <c r="A54" s="7" t="s">
        <v>114</v>
      </c>
      <c r="C54" s="17">
        <f>1369+16</f>
        <v>1385</v>
      </c>
      <c r="D54" s="9">
        <v>9</v>
      </c>
      <c r="E54" s="9">
        <v>2</v>
      </c>
      <c r="F54" s="9">
        <v>15</v>
      </c>
      <c r="G54" s="14"/>
      <c r="H54" s="8">
        <f t="shared" si="5"/>
        <v>1411</v>
      </c>
      <c r="L54" s="11"/>
    </row>
    <row r="55" spans="1:12" ht="15.75">
      <c r="A55" s="7" t="s">
        <v>115</v>
      </c>
      <c r="C55" s="17">
        <f>1369+16</f>
        <v>1385</v>
      </c>
      <c r="D55" s="9">
        <v>9</v>
      </c>
      <c r="E55" s="9">
        <v>2</v>
      </c>
      <c r="F55" s="9">
        <v>15</v>
      </c>
      <c r="G55" s="14"/>
      <c r="H55" s="8">
        <f t="shared" si="5"/>
        <v>1411</v>
      </c>
      <c r="L55" s="11"/>
    </row>
    <row r="56" spans="1:12" ht="15.75">
      <c r="A56" s="7" t="s">
        <v>116</v>
      </c>
      <c r="C56" s="17">
        <f>1369+16</f>
        <v>1385</v>
      </c>
      <c r="D56" s="9">
        <v>9</v>
      </c>
      <c r="E56" s="9">
        <v>2</v>
      </c>
      <c r="F56" s="9">
        <v>15</v>
      </c>
      <c r="G56" s="14"/>
      <c r="H56" s="8">
        <f t="shared" si="5"/>
        <v>1411</v>
      </c>
      <c r="L56" s="11"/>
    </row>
    <row r="57" spans="1:12" ht="15.75">
      <c r="A57" s="7" t="s">
        <v>117</v>
      </c>
      <c r="C57" s="17">
        <f>1369+16</f>
        <v>1385</v>
      </c>
      <c r="D57" s="9">
        <v>9</v>
      </c>
      <c r="E57" s="9">
        <v>2</v>
      </c>
      <c r="F57" s="9">
        <v>15</v>
      </c>
      <c r="G57" s="14"/>
      <c r="H57" s="8">
        <f t="shared" si="5"/>
        <v>1411</v>
      </c>
      <c r="L57" s="11"/>
    </row>
    <row r="58" spans="1:12" ht="15.75">
      <c r="A58" s="7" t="s">
        <v>118</v>
      </c>
      <c r="C58" s="17">
        <f>1369+16</f>
        <v>1385</v>
      </c>
      <c r="D58" s="9">
        <v>9</v>
      </c>
      <c r="E58" s="9">
        <v>2</v>
      </c>
      <c r="F58" s="9">
        <v>15</v>
      </c>
      <c r="G58" s="14"/>
      <c r="H58" s="8">
        <f t="shared" si="5"/>
        <v>1411</v>
      </c>
      <c r="L58" s="11"/>
    </row>
    <row r="59" spans="1:12" ht="15.75">
      <c r="A59" s="7" t="s">
        <v>119</v>
      </c>
      <c r="C59" s="17">
        <f>1349+16</f>
        <v>1365</v>
      </c>
      <c r="D59" s="9">
        <v>9</v>
      </c>
      <c r="E59" s="9">
        <v>2</v>
      </c>
      <c r="F59" s="9">
        <v>15</v>
      </c>
      <c r="G59" s="14"/>
      <c r="H59" s="8">
        <f t="shared" si="5"/>
        <v>1391</v>
      </c>
      <c r="L59" s="11"/>
    </row>
    <row r="60" spans="1:12" ht="15.75">
      <c r="A60" s="7"/>
      <c r="C60" s="8"/>
      <c r="D60" s="9"/>
      <c r="E60" s="9"/>
      <c r="F60" s="9"/>
      <c r="G60" s="9"/>
      <c r="H60" s="9"/>
      <c r="I60" s="14"/>
      <c r="J60" s="8"/>
    </row>
    <row r="61" spans="1:12" ht="15.75">
      <c r="A61" s="7"/>
      <c r="C61" s="8"/>
      <c r="D61" s="9"/>
      <c r="E61" s="9"/>
      <c r="F61" s="9"/>
      <c r="G61" s="9"/>
      <c r="H61" s="9"/>
      <c r="I61" s="14"/>
      <c r="J61" s="8"/>
    </row>
    <row r="62" spans="1:12" ht="15.75">
      <c r="A62" s="5" t="s">
        <v>29</v>
      </c>
      <c r="C62" s="13"/>
      <c r="D62" s="13"/>
      <c r="E62" s="13"/>
      <c r="F62" s="13"/>
      <c r="G62" s="13"/>
      <c r="H62" s="13"/>
      <c r="I62" s="13"/>
      <c r="J62" s="8"/>
    </row>
    <row r="63" spans="1:12" ht="15.75">
      <c r="A63" s="7" t="s">
        <v>283</v>
      </c>
      <c r="C63" s="8">
        <f>3080+16</f>
        <v>3096</v>
      </c>
      <c r="D63" s="9">
        <v>9</v>
      </c>
      <c r="E63" s="9">
        <v>2</v>
      </c>
      <c r="F63" s="9">
        <v>15</v>
      </c>
      <c r="G63" s="12">
        <v>0</v>
      </c>
      <c r="H63" s="8">
        <f>SUM(C63:G63)</f>
        <v>3122</v>
      </c>
    </row>
    <row r="64" spans="1:12" ht="15.75">
      <c r="A64" s="7"/>
      <c r="C64" s="13"/>
      <c r="D64" s="13"/>
      <c r="E64" s="13"/>
      <c r="F64" s="13"/>
      <c r="G64" s="13"/>
      <c r="H64" s="13"/>
      <c r="I64" s="13"/>
      <c r="J64" s="13"/>
    </row>
    <row r="65" spans="1:10" ht="15.75">
      <c r="A65" s="7"/>
    </row>
    <row r="67" spans="1:10" ht="15.75">
      <c r="A67" s="22"/>
    </row>
    <row r="68" spans="1:10" ht="15.75">
      <c r="A68" s="22"/>
    </row>
    <row r="69" spans="1:10" ht="15.75">
      <c r="A69" s="22"/>
    </row>
    <row r="70" spans="1:10" ht="20.25">
      <c r="A70" s="203" t="s">
        <v>258</v>
      </c>
      <c r="B70" s="203"/>
      <c r="C70" s="203"/>
      <c r="D70" s="203"/>
      <c r="E70" s="203"/>
      <c r="F70" s="203"/>
      <c r="G70" s="203"/>
      <c r="H70" s="203"/>
      <c r="I70" s="203"/>
      <c r="J70" s="203"/>
    </row>
    <row r="71" spans="1:10" ht="23.25">
      <c r="A71" s="206" t="s">
        <v>44</v>
      </c>
      <c r="B71" s="206"/>
      <c r="C71" s="206"/>
      <c r="D71" s="206"/>
      <c r="E71" s="206"/>
      <c r="F71" s="206"/>
      <c r="G71" s="206"/>
      <c r="H71" s="206"/>
      <c r="I71" s="206"/>
    </row>
    <row r="72" spans="1:10" ht="42.75">
      <c r="A72" s="202" t="s">
        <v>1</v>
      </c>
      <c r="B72" s="202"/>
      <c r="C72" s="1" t="s">
        <v>2</v>
      </c>
      <c r="D72" s="2" t="s">
        <v>3</v>
      </c>
      <c r="E72" s="3" t="s">
        <v>4</v>
      </c>
      <c r="F72" s="3" t="s">
        <v>274</v>
      </c>
      <c r="G72" s="3" t="s">
        <v>5</v>
      </c>
      <c r="H72" s="4" t="s">
        <v>6</v>
      </c>
    </row>
    <row r="73" spans="1:10" ht="15.75">
      <c r="A73" s="24" t="s">
        <v>7</v>
      </c>
      <c r="B73" s="25"/>
      <c r="C73" s="23" t="s">
        <v>8</v>
      </c>
      <c r="D73" s="23" t="s">
        <v>8</v>
      </c>
      <c r="E73" s="23" t="s">
        <v>8</v>
      </c>
      <c r="F73" s="6" t="s">
        <v>8</v>
      </c>
      <c r="G73" s="23" t="s">
        <v>8</v>
      </c>
      <c r="H73" s="23" t="s">
        <v>8</v>
      </c>
    </row>
    <row r="74" spans="1:10" ht="15.75">
      <c r="A74" s="7" t="s">
        <v>121</v>
      </c>
      <c r="C74" s="132">
        <f>(2078*1.05)+100</f>
        <v>2281.9</v>
      </c>
      <c r="D74" s="27">
        <v>80</v>
      </c>
      <c r="E74" s="13">
        <v>20</v>
      </c>
      <c r="F74" s="13">
        <v>0</v>
      </c>
      <c r="G74" s="27">
        <v>0</v>
      </c>
      <c r="H74" s="133">
        <f>SUM(C74:G74)</f>
        <v>2381.9</v>
      </c>
    </row>
    <row r="75" spans="1:10" ht="15.75">
      <c r="A75" s="7"/>
      <c r="C75" s="26"/>
      <c r="D75" s="29"/>
      <c r="E75" s="13"/>
      <c r="F75" s="13"/>
      <c r="G75" s="13"/>
      <c r="H75" s="13"/>
      <c r="I75" s="29"/>
      <c r="J75" s="28"/>
    </row>
    <row r="76" spans="1:10" ht="15.75">
      <c r="A76" s="7"/>
      <c r="C76" s="26"/>
      <c r="D76" s="29"/>
      <c r="E76" s="13"/>
      <c r="F76" s="13"/>
      <c r="G76" s="13"/>
      <c r="H76" s="13"/>
      <c r="I76" s="29"/>
      <c r="J76" s="28"/>
    </row>
    <row r="77" spans="1:10" ht="15.75">
      <c r="A77" s="7"/>
      <c r="C77" s="31"/>
    </row>
    <row r="78" spans="1:10" ht="15.75">
      <c r="A78" s="7"/>
      <c r="C78" s="31"/>
    </row>
    <row r="79" spans="1:10" ht="15.75">
      <c r="A79" s="7"/>
      <c r="C79" s="31"/>
    </row>
    <row r="80" spans="1:10" ht="20.25">
      <c r="A80" s="203" t="s">
        <v>259</v>
      </c>
      <c r="B80" s="203"/>
      <c r="C80" s="203"/>
      <c r="D80" s="203"/>
      <c r="E80" s="203"/>
      <c r="F80" s="203"/>
      <c r="G80" s="203"/>
      <c r="H80" s="203"/>
      <c r="I80" s="203"/>
      <c r="J80" s="203"/>
    </row>
    <row r="81" spans="1:10" ht="20.25">
      <c r="A81" s="203" t="s">
        <v>47</v>
      </c>
      <c r="B81" s="203"/>
      <c r="C81" s="203"/>
      <c r="D81" s="203"/>
      <c r="E81" s="203"/>
      <c r="F81" s="203"/>
      <c r="G81" s="203"/>
      <c r="H81" s="203"/>
      <c r="I81" s="203"/>
      <c r="J81" s="203"/>
    </row>
    <row r="82" spans="1:10" ht="42.75">
      <c r="A82" s="202" t="s">
        <v>1</v>
      </c>
      <c r="B82" s="202"/>
      <c r="C82" s="1" t="s">
        <v>2</v>
      </c>
      <c r="D82" s="2" t="s">
        <v>3</v>
      </c>
      <c r="E82" s="3" t="s">
        <v>4</v>
      </c>
      <c r="F82" s="3" t="s">
        <v>274</v>
      </c>
      <c r="G82" s="3" t="s">
        <v>5</v>
      </c>
      <c r="H82" s="4" t="s">
        <v>6</v>
      </c>
    </row>
    <row r="83" spans="1:10" ht="15.75">
      <c r="A83" s="24" t="s">
        <v>7</v>
      </c>
      <c r="B83" s="25"/>
      <c r="C83" s="23" t="s">
        <v>8</v>
      </c>
      <c r="D83" s="23" t="s">
        <v>8</v>
      </c>
      <c r="E83" s="23" t="s">
        <v>8</v>
      </c>
      <c r="F83" s="6" t="s">
        <v>8</v>
      </c>
      <c r="G83" s="23" t="s">
        <v>8</v>
      </c>
      <c r="H83" s="23" t="s">
        <v>8</v>
      </c>
    </row>
    <row r="84" spans="1:10" ht="15.75">
      <c r="A84" s="7" t="s">
        <v>230</v>
      </c>
      <c r="C84" s="26">
        <f>(1484*1.05)+100</f>
        <v>1658.2</v>
      </c>
      <c r="D84" s="132">
        <v>80</v>
      </c>
      <c r="E84" s="132">
        <v>20</v>
      </c>
      <c r="F84" s="160">
        <v>100</v>
      </c>
      <c r="G84" s="161">
        <v>0</v>
      </c>
      <c r="H84" s="132">
        <f>SUM(C84:G84)</f>
        <v>1858.2</v>
      </c>
    </row>
    <row r="88" spans="1:10" ht="20.25">
      <c r="A88" s="203" t="s">
        <v>259</v>
      </c>
      <c r="B88" s="203"/>
      <c r="C88" s="203"/>
      <c r="D88" s="203"/>
      <c r="E88" s="203"/>
      <c r="F88" s="203"/>
      <c r="G88" s="203"/>
      <c r="H88" s="203"/>
      <c r="I88" s="203"/>
      <c r="J88" s="203"/>
    </row>
    <row r="89" spans="1:10" ht="18.75">
      <c r="A89" s="205" t="s">
        <v>48</v>
      </c>
      <c r="B89" s="205"/>
      <c r="C89" s="205"/>
      <c r="D89" s="205"/>
      <c r="E89" s="205"/>
      <c r="F89" s="205"/>
      <c r="G89" s="205"/>
      <c r="H89" s="205"/>
      <c r="I89" s="205"/>
      <c r="J89" s="205"/>
    </row>
    <row r="90" spans="1:10" ht="42.75">
      <c r="A90" s="202" t="s">
        <v>1</v>
      </c>
      <c r="B90" s="202"/>
      <c r="C90" s="1" t="s">
        <v>2</v>
      </c>
      <c r="D90" s="2" t="s">
        <v>3</v>
      </c>
      <c r="E90" s="3" t="s">
        <v>4</v>
      </c>
      <c r="F90" s="3" t="s">
        <v>274</v>
      </c>
      <c r="G90" s="3" t="s">
        <v>5</v>
      </c>
      <c r="H90" s="4" t="s">
        <v>6</v>
      </c>
    </row>
    <row r="91" spans="1:10" ht="15.75">
      <c r="A91" s="24" t="s">
        <v>7</v>
      </c>
      <c r="B91" s="25"/>
      <c r="C91" s="23" t="s">
        <v>32</v>
      </c>
      <c r="D91" s="23" t="s">
        <v>32</v>
      </c>
      <c r="E91" s="23" t="s">
        <v>32</v>
      </c>
      <c r="F91" s="23" t="s">
        <v>32</v>
      </c>
      <c r="G91" s="23" t="s">
        <v>32</v>
      </c>
      <c r="H91" s="23" t="s">
        <v>32</v>
      </c>
    </row>
    <row r="92" spans="1:10" ht="15.75">
      <c r="A92" s="7" t="s">
        <v>121</v>
      </c>
      <c r="C92" s="26">
        <f>439+16</f>
        <v>455</v>
      </c>
      <c r="D92" s="132">
        <v>9</v>
      </c>
      <c r="E92" s="132">
        <v>2</v>
      </c>
      <c r="F92" s="160">
        <v>15</v>
      </c>
      <c r="G92" s="31">
        <v>0</v>
      </c>
      <c r="H92" s="132">
        <f>SUM(C92:G92)</f>
        <v>481</v>
      </c>
    </row>
  </sheetData>
  <mergeCells count="15">
    <mergeCell ref="A38:B38"/>
    <mergeCell ref="A1:J1"/>
    <mergeCell ref="A2:J2"/>
    <mergeCell ref="A3:B3"/>
    <mergeCell ref="A36:J36"/>
    <mergeCell ref="A37:J37"/>
    <mergeCell ref="A90:B90"/>
    <mergeCell ref="A88:J88"/>
    <mergeCell ref="A89:J89"/>
    <mergeCell ref="A70:J70"/>
    <mergeCell ref="A71:I71"/>
    <mergeCell ref="A72:B72"/>
    <mergeCell ref="A80:J80"/>
    <mergeCell ref="A81:J81"/>
    <mergeCell ref="A82:B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5"/>
  <sheetViews>
    <sheetView workbookViewId="0">
      <selection activeCell="E6" sqref="E6"/>
    </sheetView>
  </sheetViews>
  <sheetFormatPr defaultRowHeight="15"/>
  <cols>
    <col min="1" max="1" width="9.140625" style="106"/>
    <col min="2" max="2" width="36.28515625" style="106" customWidth="1"/>
    <col min="3" max="3" width="13.7109375" style="106" customWidth="1"/>
    <col min="4" max="4" width="9.140625" style="106"/>
    <col min="5" max="8" width="10.42578125" style="106" customWidth="1"/>
    <col min="9" max="9" width="10.5703125" style="106" customWidth="1"/>
    <col min="10" max="10" width="12.28515625" style="106" customWidth="1"/>
    <col min="11" max="12" width="9.140625" style="106"/>
    <col min="13" max="13" width="11.7109375" style="106" customWidth="1"/>
    <col min="14" max="14" width="9.5703125" style="106" bestFit="1" customWidth="1"/>
    <col min="15" max="16" width="9.140625" style="106"/>
    <col min="17" max="17" width="10" style="106" bestFit="1" customWidth="1"/>
    <col min="18" max="16384" width="9.140625" style="106"/>
  </cols>
  <sheetData>
    <row r="1" spans="1:13" customFormat="1" ht="20.25">
      <c r="A1" s="203" t="s">
        <v>259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3" customFormat="1" ht="20.25">
      <c r="A2" s="203" t="s">
        <v>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3" customFormat="1" ht="42.75">
      <c r="A3" s="202" t="s">
        <v>1</v>
      </c>
      <c r="B3" s="202"/>
      <c r="C3" s="1" t="s">
        <v>2</v>
      </c>
      <c r="D3" s="2" t="s">
        <v>3</v>
      </c>
      <c r="E3" s="3" t="s">
        <v>4</v>
      </c>
      <c r="F3" s="3" t="s">
        <v>274</v>
      </c>
      <c r="G3" s="3" t="s">
        <v>5</v>
      </c>
      <c r="H3" s="4" t="s">
        <v>6</v>
      </c>
    </row>
    <row r="4" spans="1:13" customFormat="1" ht="15.75">
      <c r="A4" s="5" t="s">
        <v>7</v>
      </c>
      <c r="C4" s="6" t="s">
        <v>8</v>
      </c>
      <c r="D4" s="6" t="s">
        <v>8</v>
      </c>
      <c r="E4" s="6" t="s">
        <v>8</v>
      </c>
      <c r="F4" s="6" t="s">
        <v>8</v>
      </c>
      <c r="G4" s="6" t="s">
        <v>8</v>
      </c>
      <c r="H4" s="6" t="s">
        <v>8</v>
      </c>
    </row>
    <row r="5" spans="1:13" customFormat="1" ht="15.75">
      <c r="A5" s="7" t="s">
        <v>137</v>
      </c>
      <c r="C5" s="130">
        <f>(2289.6*1.05)+100</f>
        <v>2504.08</v>
      </c>
      <c r="D5" s="9">
        <v>80</v>
      </c>
      <c r="E5" s="9">
        <v>20</v>
      </c>
      <c r="F5" s="9">
        <v>100</v>
      </c>
      <c r="G5" s="12">
        <v>0</v>
      </c>
      <c r="H5" s="130">
        <f t="shared" ref="H5:H11" si="0">SUM(C5:G5)</f>
        <v>2704.08</v>
      </c>
      <c r="K5" s="106"/>
    </row>
    <row r="6" spans="1:13" customFormat="1" ht="15.75">
      <c r="A6" s="7" t="s">
        <v>138</v>
      </c>
      <c r="C6" s="130">
        <f t="shared" ref="C6:C10" si="1">(2289.6*1.05)+100</f>
        <v>2504.08</v>
      </c>
      <c r="D6" s="9">
        <v>80</v>
      </c>
      <c r="E6" s="9">
        <v>20</v>
      </c>
      <c r="F6" s="9">
        <v>100</v>
      </c>
      <c r="G6" s="12">
        <v>0</v>
      </c>
      <c r="H6" s="130">
        <f t="shared" si="0"/>
        <v>2704.08</v>
      </c>
      <c r="K6" s="106"/>
    </row>
    <row r="7" spans="1:13" customFormat="1" ht="15.75">
      <c r="A7" s="7" t="s">
        <v>139</v>
      </c>
      <c r="C7" s="130">
        <f t="shared" si="1"/>
        <v>2504.08</v>
      </c>
      <c r="D7" s="9">
        <v>80</v>
      </c>
      <c r="E7" s="9">
        <v>20</v>
      </c>
      <c r="F7" s="9">
        <v>100</v>
      </c>
      <c r="G7" s="12">
        <v>0</v>
      </c>
      <c r="H7" s="130">
        <f t="shared" si="0"/>
        <v>2704.08</v>
      </c>
      <c r="K7" s="106"/>
    </row>
    <row r="8" spans="1:13" customFormat="1" ht="15.75">
      <c r="A8" s="7" t="s">
        <v>140</v>
      </c>
      <c r="C8" s="130">
        <f t="shared" si="1"/>
        <v>2504.08</v>
      </c>
      <c r="D8" s="9">
        <v>80</v>
      </c>
      <c r="E8" s="9">
        <v>20</v>
      </c>
      <c r="F8" s="9">
        <v>100</v>
      </c>
      <c r="G8" s="12">
        <v>0</v>
      </c>
      <c r="H8" s="130">
        <f t="shared" si="0"/>
        <v>2704.08</v>
      </c>
      <c r="K8" s="106"/>
    </row>
    <row r="9" spans="1:13" customFormat="1" ht="15.75">
      <c r="A9" s="7" t="s">
        <v>155</v>
      </c>
      <c r="C9" s="130">
        <f t="shared" si="1"/>
        <v>2504.08</v>
      </c>
      <c r="D9" s="9">
        <v>80</v>
      </c>
      <c r="E9" s="9">
        <v>20</v>
      </c>
      <c r="F9" s="9">
        <v>100</v>
      </c>
      <c r="G9" s="12">
        <v>0</v>
      </c>
      <c r="H9" s="130">
        <f t="shared" si="0"/>
        <v>2704.08</v>
      </c>
      <c r="K9" s="106"/>
    </row>
    <row r="10" spans="1:13" s="37" customFormat="1" ht="15.75">
      <c r="A10" s="36" t="s">
        <v>51</v>
      </c>
      <c r="C10" s="130">
        <f t="shared" si="1"/>
        <v>2504.08</v>
      </c>
      <c r="D10" s="9">
        <v>80</v>
      </c>
      <c r="E10" s="9">
        <v>20</v>
      </c>
      <c r="F10" s="9">
        <v>100</v>
      </c>
      <c r="G10" s="38">
        <v>0</v>
      </c>
      <c r="H10" s="130">
        <f t="shared" si="0"/>
        <v>2704.08</v>
      </c>
    </row>
    <row r="11" spans="1:13" s="37" customFormat="1" ht="15.75">
      <c r="A11" t="s">
        <v>287</v>
      </c>
      <c r="B11"/>
      <c r="C11" s="130">
        <f>(2438*1.05)+100</f>
        <v>2659.9</v>
      </c>
      <c r="D11" s="9">
        <v>80</v>
      </c>
      <c r="E11" s="9">
        <v>20</v>
      </c>
      <c r="F11" s="9">
        <v>100</v>
      </c>
      <c r="G11" s="10">
        <v>0</v>
      </c>
      <c r="H11" s="130">
        <f t="shared" si="0"/>
        <v>2859.9</v>
      </c>
    </row>
    <row r="12" spans="1:13" customFormat="1" ht="15.75">
      <c r="A12" s="7"/>
      <c r="C12" s="130"/>
      <c r="D12" s="9"/>
      <c r="E12" s="9"/>
      <c r="F12" s="9"/>
      <c r="G12" s="9"/>
      <c r="H12" s="9"/>
      <c r="I12" s="12"/>
      <c r="J12" s="8"/>
      <c r="M12" s="106"/>
    </row>
    <row r="13" spans="1:13" customFormat="1" ht="15.75">
      <c r="A13" s="5" t="s">
        <v>16</v>
      </c>
      <c r="C13" s="128"/>
      <c r="D13" s="13"/>
      <c r="E13" s="13"/>
      <c r="F13" s="13"/>
      <c r="G13" s="13"/>
      <c r="H13" s="13"/>
      <c r="I13" s="13"/>
      <c r="J13" s="8"/>
      <c r="M13" s="106"/>
    </row>
    <row r="14" spans="1:13" customFormat="1" ht="15.75">
      <c r="A14" s="7" t="s">
        <v>141</v>
      </c>
      <c r="C14" s="130">
        <f>(2713.6*1.05)+100</f>
        <v>2949.28</v>
      </c>
      <c r="D14" s="9">
        <v>80</v>
      </c>
      <c r="E14" s="9">
        <v>20</v>
      </c>
      <c r="F14" s="9">
        <v>100</v>
      </c>
      <c r="G14" s="14">
        <v>0</v>
      </c>
      <c r="H14" s="130">
        <f t="shared" ref="H14:H24" si="2">SUM(C14:G14)</f>
        <v>3149.28</v>
      </c>
      <c r="K14" s="106"/>
    </row>
    <row r="15" spans="1:13" customFormat="1" ht="15.75">
      <c r="A15" s="7" t="s">
        <v>142</v>
      </c>
      <c r="C15" s="131">
        <f>(2480.4*1.05)+100</f>
        <v>2704.42</v>
      </c>
      <c r="D15" s="9">
        <v>80</v>
      </c>
      <c r="E15" s="9">
        <v>20</v>
      </c>
      <c r="F15" s="9">
        <v>100</v>
      </c>
      <c r="G15" s="14">
        <v>0</v>
      </c>
      <c r="H15" s="130">
        <f t="shared" si="2"/>
        <v>2904.42</v>
      </c>
      <c r="K15" s="106"/>
    </row>
    <row r="16" spans="1:13" customFormat="1" ht="15.75">
      <c r="A16" s="7" t="s">
        <v>143</v>
      </c>
      <c r="C16" s="130">
        <f>(2851.4*1.05)+100</f>
        <v>3093.9700000000003</v>
      </c>
      <c r="D16" s="9">
        <v>80</v>
      </c>
      <c r="E16" s="9">
        <v>20</v>
      </c>
      <c r="F16" s="9">
        <v>100</v>
      </c>
      <c r="G16" s="14">
        <v>0</v>
      </c>
      <c r="H16" s="130">
        <f t="shared" si="2"/>
        <v>3293.9700000000003</v>
      </c>
      <c r="K16" s="106"/>
    </row>
    <row r="17" spans="1:13" customFormat="1" ht="15.75">
      <c r="A17" s="7" t="s">
        <v>144</v>
      </c>
      <c r="C17" s="130">
        <f>(2596.152*1.05)+100</f>
        <v>2825.9596000000001</v>
      </c>
      <c r="D17" s="9">
        <v>80</v>
      </c>
      <c r="E17" s="9">
        <v>20</v>
      </c>
      <c r="F17" s="9">
        <v>100</v>
      </c>
      <c r="G17" s="10">
        <v>550</v>
      </c>
      <c r="H17" s="130">
        <f t="shared" si="2"/>
        <v>3575.9596000000001</v>
      </c>
      <c r="K17" s="106"/>
    </row>
    <row r="18" spans="1:13" customFormat="1" ht="15.75">
      <c r="A18" s="7" t="s">
        <v>145</v>
      </c>
      <c r="C18" s="130">
        <f>(2713.6*1.05)+100</f>
        <v>2949.28</v>
      </c>
      <c r="D18" s="9">
        <v>80</v>
      </c>
      <c r="E18" s="9">
        <v>20</v>
      </c>
      <c r="F18" s="9">
        <v>100</v>
      </c>
      <c r="G18" s="10">
        <v>0</v>
      </c>
      <c r="H18" s="130">
        <f t="shared" si="2"/>
        <v>3149.28</v>
      </c>
      <c r="K18" s="106"/>
    </row>
    <row r="19" spans="1:13" customFormat="1" ht="15.75">
      <c r="A19" s="7" t="s">
        <v>146</v>
      </c>
      <c r="C19" s="130">
        <f>(2586.4*1.05)+100</f>
        <v>2815.7200000000003</v>
      </c>
      <c r="D19" s="9">
        <v>80</v>
      </c>
      <c r="E19" s="9">
        <v>20</v>
      </c>
      <c r="F19" s="9">
        <v>100</v>
      </c>
      <c r="G19" s="10">
        <v>0</v>
      </c>
      <c r="H19" s="130">
        <f t="shared" si="2"/>
        <v>3015.7200000000003</v>
      </c>
      <c r="K19" s="106"/>
    </row>
    <row r="20" spans="1:13" customFormat="1" ht="15.75">
      <c r="A20" s="7" t="s">
        <v>147</v>
      </c>
      <c r="C20" s="130">
        <f>(2586.4*1.05)+100</f>
        <v>2815.7200000000003</v>
      </c>
      <c r="D20" s="9">
        <v>80</v>
      </c>
      <c r="E20" s="9">
        <v>20</v>
      </c>
      <c r="F20" s="9">
        <v>100</v>
      </c>
      <c r="G20" s="10">
        <v>0</v>
      </c>
      <c r="H20" s="130">
        <f t="shared" si="2"/>
        <v>3015.7200000000003</v>
      </c>
      <c r="K20" s="106"/>
    </row>
    <row r="21" spans="1:13" customFormat="1" ht="15.75">
      <c r="A21" s="7" t="s">
        <v>148</v>
      </c>
      <c r="C21" s="130">
        <f>(2586.4*1.05)+100</f>
        <v>2815.7200000000003</v>
      </c>
      <c r="D21" s="9">
        <v>80</v>
      </c>
      <c r="E21" s="9">
        <v>20</v>
      </c>
      <c r="F21" s="9">
        <v>100</v>
      </c>
      <c r="G21" s="10">
        <v>0</v>
      </c>
      <c r="H21" s="130">
        <f t="shared" si="2"/>
        <v>3015.7200000000003</v>
      </c>
      <c r="K21" s="106"/>
    </row>
    <row r="22" spans="1:13" customFormat="1" ht="15.75">
      <c r="A22" s="7" t="s">
        <v>149</v>
      </c>
      <c r="C22" s="130">
        <f>(2104.1*1.05)+100</f>
        <v>2309.3049999999998</v>
      </c>
      <c r="D22" s="9">
        <v>80</v>
      </c>
      <c r="E22" s="9">
        <v>20</v>
      </c>
      <c r="F22" s="9">
        <v>100</v>
      </c>
      <c r="G22" s="12">
        <v>0</v>
      </c>
      <c r="H22" s="130">
        <f t="shared" si="2"/>
        <v>2509.3049999999998</v>
      </c>
      <c r="K22" s="106"/>
    </row>
    <row r="23" spans="1:13" customFormat="1" ht="15.75">
      <c r="A23" s="7" t="s">
        <v>150</v>
      </c>
      <c r="C23" s="130">
        <f>(2104.1*1.05)+100</f>
        <v>2309.3049999999998</v>
      </c>
      <c r="D23" s="9">
        <v>80</v>
      </c>
      <c r="E23" s="9">
        <v>20</v>
      </c>
      <c r="F23" s="9">
        <v>100</v>
      </c>
      <c r="G23" s="12">
        <v>0</v>
      </c>
      <c r="H23" s="130">
        <f t="shared" si="2"/>
        <v>2509.3049999999998</v>
      </c>
      <c r="K23" s="106"/>
    </row>
    <row r="24" spans="1:13" customFormat="1" ht="15.75">
      <c r="A24" s="7" t="s">
        <v>151</v>
      </c>
      <c r="C24" s="131">
        <f>(1998.1*1.05)+100</f>
        <v>2198.0050000000001</v>
      </c>
      <c r="D24" s="9">
        <v>80</v>
      </c>
      <c r="E24" s="9">
        <v>20</v>
      </c>
      <c r="F24" s="9">
        <v>100</v>
      </c>
      <c r="G24" s="12">
        <v>0</v>
      </c>
      <c r="H24" s="130">
        <f t="shared" si="2"/>
        <v>2398.0050000000001</v>
      </c>
      <c r="K24" s="106"/>
    </row>
    <row r="25" spans="1:13" ht="15.75">
      <c r="A25" s="105"/>
      <c r="C25" s="176"/>
      <c r="D25" s="166"/>
      <c r="E25" s="166"/>
      <c r="F25" s="166"/>
      <c r="G25" s="166"/>
      <c r="H25" s="166"/>
      <c r="I25" s="109"/>
      <c r="J25" s="168"/>
    </row>
    <row r="26" spans="1:13" customFormat="1" ht="15.75">
      <c r="A26" s="7"/>
      <c r="C26" s="128"/>
      <c r="D26" s="9"/>
      <c r="E26" s="9"/>
      <c r="F26" s="9"/>
      <c r="G26" s="9"/>
      <c r="H26" s="9"/>
      <c r="I26" s="14"/>
      <c r="J26" s="8"/>
      <c r="M26" s="106"/>
    </row>
    <row r="27" spans="1:13" customFormat="1" ht="15.75">
      <c r="A27" s="5" t="s">
        <v>29</v>
      </c>
      <c r="C27" s="128"/>
      <c r="D27" s="13"/>
      <c r="E27" s="13"/>
      <c r="F27" s="13"/>
      <c r="G27" s="13"/>
      <c r="H27" s="13"/>
      <c r="I27" s="13"/>
      <c r="J27" s="8"/>
      <c r="M27" s="106"/>
    </row>
    <row r="28" spans="1:13" customFormat="1" ht="15.75">
      <c r="A28" s="7" t="s">
        <v>152</v>
      </c>
      <c r="C28" s="186">
        <f>(5364.66*1.05)+100</f>
        <v>5732.893</v>
      </c>
      <c r="D28" s="9">
        <v>80</v>
      </c>
      <c r="E28" s="9">
        <v>20</v>
      </c>
      <c r="F28" s="9">
        <v>100</v>
      </c>
      <c r="G28" s="12">
        <v>0</v>
      </c>
      <c r="H28" s="130">
        <f>SUM(C28:G28)</f>
        <v>5932.893</v>
      </c>
      <c r="J28" s="11"/>
      <c r="K28" s="106"/>
    </row>
    <row r="29" spans="1:13" customFormat="1" ht="15.75">
      <c r="A29" s="7"/>
      <c r="C29" s="13"/>
      <c r="D29" s="13"/>
      <c r="E29" s="13"/>
      <c r="F29" s="13"/>
      <c r="G29" s="13"/>
      <c r="H29" s="13"/>
      <c r="I29" s="13"/>
      <c r="J29" s="13"/>
    </row>
    <row r="30" spans="1:13" customFormat="1" ht="15.75">
      <c r="A30" s="7"/>
      <c r="C30" s="13"/>
      <c r="D30" s="13"/>
      <c r="E30" s="13"/>
      <c r="F30" s="13"/>
      <c r="G30" s="13"/>
      <c r="H30" s="13"/>
      <c r="I30" s="13"/>
      <c r="J30" s="13"/>
    </row>
    <row r="35" spans="1:10" ht="20.25">
      <c r="A35" s="203" t="s">
        <v>255</v>
      </c>
      <c r="B35" s="203"/>
      <c r="C35" s="203"/>
      <c r="D35" s="203"/>
      <c r="E35" s="203"/>
      <c r="F35" s="203"/>
      <c r="G35" s="203"/>
      <c r="H35" s="203"/>
      <c r="I35" s="203"/>
      <c r="J35" s="203"/>
    </row>
    <row r="36" spans="1:10" ht="20.25">
      <c r="A36" s="203" t="s">
        <v>31</v>
      </c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0" ht="42.75">
      <c r="A37" s="202" t="s">
        <v>1</v>
      </c>
      <c r="B37" s="202"/>
      <c r="C37" s="1" t="s">
        <v>2</v>
      </c>
      <c r="D37" s="2" t="s">
        <v>3</v>
      </c>
      <c r="E37" s="3" t="s">
        <v>4</v>
      </c>
      <c r="F37" s="3" t="s">
        <v>274</v>
      </c>
      <c r="G37" s="3" t="s">
        <v>5</v>
      </c>
      <c r="H37" s="4" t="s">
        <v>6</v>
      </c>
    </row>
    <row r="38" spans="1:10" ht="15.75">
      <c r="A38" s="5" t="s">
        <v>7</v>
      </c>
      <c r="B38"/>
      <c r="C38" s="23" t="s">
        <v>32</v>
      </c>
      <c r="D38" s="23" t="s">
        <v>32</v>
      </c>
      <c r="E38" s="23" t="s">
        <v>32</v>
      </c>
      <c r="F38" s="23" t="s">
        <v>32</v>
      </c>
      <c r="G38" s="23" t="s">
        <v>32</v>
      </c>
      <c r="H38" s="23" t="s">
        <v>32</v>
      </c>
    </row>
    <row r="39" spans="1:10" ht="15.75">
      <c r="A39" s="7" t="s">
        <v>234</v>
      </c>
      <c r="B39"/>
      <c r="C39" s="17">
        <f>1524+16</f>
        <v>1540</v>
      </c>
      <c r="D39" s="9">
        <v>9</v>
      </c>
      <c r="E39" s="9">
        <v>2</v>
      </c>
      <c r="F39" s="9">
        <v>15</v>
      </c>
      <c r="G39" s="12">
        <v>0</v>
      </c>
      <c r="H39" s="8">
        <f t="shared" ref="H39:H44" si="3">SUM(C39:G39)</f>
        <v>1566</v>
      </c>
    </row>
    <row r="40" spans="1:10" ht="15.75">
      <c r="A40" s="7" t="s">
        <v>235</v>
      </c>
      <c r="B40"/>
      <c r="C40" s="17">
        <f t="shared" ref="C40:C44" si="4">1524+16</f>
        <v>1540</v>
      </c>
      <c r="D40" s="9">
        <v>9</v>
      </c>
      <c r="E40" s="9">
        <v>2</v>
      </c>
      <c r="F40" s="9">
        <v>15</v>
      </c>
      <c r="G40" s="12">
        <v>0</v>
      </c>
      <c r="H40" s="8">
        <f t="shared" si="3"/>
        <v>1566</v>
      </c>
    </row>
    <row r="41" spans="1:10" ht="15.75">
      <c r="A41" s="7" t="s">
        <v>153</v>
      </c>
      <c r="B41"/>
      <c r="C41" s="17">
        <f t="shared" si="4"/>
        <v>1540</v>
      </c>
      <c r="D41" s="9">
        <v>9</v>
      </c>
      <c r="E41" s="9">
        <v>2</v>
      </c>
      <c r="F41" s="9">
        <v>15</v>
      </c>
      <c r="G41" s="12">
        <v>0</v>
      </c>
      <c r="H41" s="8">
        <f t="shared" si="3"/>
        <v>1566</v>
      </c>
    </row>
    <row r="42" spans="1:10" ht="15.75">
      <c r="A42" s="7" t="s">
        <v>236</v>
      </c>
      <c r="B42"/>
      <c r="C42" s="17">
        <f t="shared" si="4"/>
        <v>1540</v>
      </c>
      <c r="D42" s="9">
        <v>9</v>
      </c>
      <c r="E42" s="9">
        <v>2</v>
      </c>
      <c r="F42" s="9">
        <v>15</v>
      </c>
      <c r="G42" s="12">
        <v>0</v>
      </c>
      <c r="H42" s="8">
        <f t="shared" si="3"/>
        <v>1566</v>
      </c>
    </row>
    <row r="43" spans="1:10" ht="15.75">
      <c r="A43" s="7" t="s">
        <v>237</v>
      </c>
      <c r="B43"/>
      <c r="C43" s="17">
        <f t="shared" si="4"/>
        <v>1540</v>
      </c>
      <c r="D43" s="9">
        <v>9</v>
      </c>
      <c r="E43" s="9">
        <v>2</v>
      </c>
      <c r="F43" s="9">
        <v>15</v>
      </c>
      <c r="G43" s="12">
        <v>0</v>
      </c>
      <c r="H43" s="8">
        <f t="shared" si="3"/>
        <v>1566</v>
      </c>
    </row>
    <row r="44" spans="1:10" s="167" customFormat="1" ht="15.75">
      <c r="A44" s="36" t="s">
        <v>161</v>
      </c>
      <c r="B44" s="37"/>
      <c r="C44" s="17">
        <f t="shared" si="4"/>
        <v>1540</v>
      </c>
      <c r="D44" s="9">
        <v>9</v>
      </c>
      <c r="E44" s="9">
        <v>2</v>
      </c>
      <c r="F44" s="9">
        <v>15</v>
      </c>
      <c r="G44" s="39">
        <v>0</v>
      </c>
      <c r="H44" s="8">
        <f t="shared" si="3"/>
        <v>1566</v>
      </c>
    </row>
    <row r="45" spans="1:10" ht="15.75">
      <c r="A45" s="7"/>
      <c r="B45"/>
      <c r="C45" s="8"/>
      <c r="D45" s="9"/>
      <c r="E45" s="9"/>
      <c r="F45" s="9"/>
      <c r="G45" s="9"/>
      <c r="H45" s="9"/>
      <c r="I45" s="14"/>
      <c r="J45" s="8"/>
    </row>
    <row r="46" spans="1:10" ht="15.75">
      <c r="A46" s="7"/>
      <c r="B46"/>
      <c r="C46" s="8"/>
      <c r="D46" s="9"/>
      <c r="E46" s="9"/>
      <c r="F46" s="9"/>
      <c r="G46" s="9"/>
      <c r="H46" s="9"/>
      <c r="I46" s="14"/>
      <c r="J46" s="8"/>
    </row>
    <row r="47" spans="1:10" ht="15.75">
      <c r="A47" s="5" t="s">
        <v>16</v>
      </c>
      <c r="B47"/>
      <c r="C47" s="13"/>
      <c r="D47" s="13"/>
      <c r="E47" s="13"/>
      <c r="F47" s="13"/>
      <c r="G47" s="13"/>
      <c r="H47" s="13"/>
      <c r="I47" s="13"/>
      <c r="J47" s="8"/>
    </row>
    <row r="48" spans="1:10" ht="15.75">
      <c r="A48" s="7" t="s">
        <v>238</v>
      </c>
      <c r="B48"/>
      <c r="C48" s="17">
        <f>1469+16</f>
        <v>1485</v>
      </c>
      <c r="D48" s="9">
        <v>9</v>
      </c>
      <c r="E48" s="9">
        <v>2</v>
      </c>
      <c r="F48" s="9">
        <v>15</v>
      </c>
      <c r="G48" s="14">
        <v>0</v>
      </c>
      <c r="H48" s="8">
        <f t="shared" ref="H48:H58" si="5">SUM(C48:G48)</f>
        <v>1511</v>
      </c>
    </row>
    <row r="49" spans="1:10" ht="15.75">
      <c r="A49" s="7" t="s">
        <v>239</v>
      </c>
      <c r="B49"/>
      <c r="C49" s="17">
        <f>1349+16</f>
        <v>1365</v>
      </c>
      <c r="D49" s="9">
        <v>9</v>
      </c>
      <c r="E49" s="9">
        <v>2</v>
      </c>
      <c r="F49" s="9">
        <v>15</v>
      </c>
      <c r="G49" s="14"/>
      <c r="H49" s="8">
        <f t="shared" si="5"/>
        <v>1391</v>
      </c>
    </row>
    <row r="50" spans="1:10" ht="15.75">
      <c r="A50" s="7" t="s">
        <v>240</v>
      </c>
      <c r="B50"/>
      <c r="C50" s="17">
        <f>1349+16</f>
        <v>1365</v>
      </c>
      <c r="D50" s="9">
        <v>9</v>
      </c>
      <c r="E50" s="9">
        <v>2</v>
      </c>
      <c r="F50" s="9">
        <v>15</v>
      </c>
      <c r="G50" s="14"/>
      <c r="H50" s="8">
        <f t="shared" si="5"/>
        <v>1391</v>
      </c>
    </row>
    <row r="51" spans="1:10" ht="15.75">
      <c r="A51" s="7" t="s">
        <v>241</v>
      </c>
      <c r="B51"/>
      <c r="C51" s="17">
        <f>1382+16</f>
        <v>1398</v>
      </c>
      <c r="D51" s="9">
        <v>9</v>
      </c>
      <c r="E51" s="9">
        <v>2</v>
      </c>
      <c r="F51" s="9">
        <v>15</v>
      </c>
      <c r="G51" s="14">
        <v>87</v>
      </c>
      <c r="H51" s="8">
        <f t="shared" si="5"/>
        <v>1511</v>
      </c>
    </row>
    <row r="52" spans="1:10" ht="15.75">
      <c r="A52" s="7" t="s">
        <v>242</v>
      </c>
      <c r="B52"/>
      <c r="C52" s="17">
        <f>1469+16</f>
        <v>1485</v>
      </c>
      <c r="D52" s="9">
        <v>9</v>
      </c>
      <c r="E52" s="9">
        <v>2</v>
      </c>
      <c r="F52" s="9">
        <v>15</v>
      </c>
      <c r="G52" s="14">
        <v>0</v>
      </c>
      <c r="H52" s="8">
        <f t="shared" si="5"/>
        <v>1511</v>
      </c>
    </row>
    <row r="53" spans="1:10" ht="15.75">
      <c r="A53" s="7" t="s">
        <v>243</v>
      </c>
      <c r="B53"/>
      <c r="C53" s="17">
        <f>1369+16</f>
        <v>1385</v>
      </c>
      <c r="D53" s="9">
        <v>9</v>
      </c>
      <c r="E53" s="9">
        <v>2</v>
      </c>
      <c r="F53" s="9">
        <v>15</v>
      </c>
      <c r="G53" s="14"/>
      <c r="H53" s="8">
        <f t="shared" si="5"/>
        <v>1411</v>
      </c>
    </row>
    <row r="54" spans="1:10" ht="15.75">
      <c r="A54" s="7" t="s">
        <v>244</v>
      </c>
      <c r="B54"/>
      <c r="C54" s="17">
        <f>1369+16</f>
        <v>1385</v>
      </c>
      <c r="D54" s="9">
        <v>9</v>
      </c>
      <c r="E54" s="9">
        <v>2</v>
      </c>
      <c r="F54" s="9">
        <v>15</v>
      </c>
      <c r="G54" s="14"/>
      <c r="H54" s="8">
        <f t="shared" si="5"/>
        <v>1411</v>
      </c>
    </row>
    <row r="55" spans="1:10" ht="15.75">
      <c r="A55" s="7" t="s">
        <v>245</v>
      </c>
      <c r="B55"/>
      <c r="C55" s="17">
        <f>1369+16</f>
        <v>1385</v>
      </c>
      <c r="D55" s="9">
        <v>9</v>
      </c>
      <c r="E55" s="9">
        <v>2</v>
      </c>
      <c r="F55" s="9">
        <v>15</v>
      </c>
      <c r="G55" s="14"/>
      <c r="H55" s="8">
        <f t="shared" si="5"/>
        <v>1411</v>
      </c>
    </row>
    <row r="56" spans="1:10" ht="15.75">
      <c r="A56" s="7" t="s">
        <v>156</v>
      </c>
      <c r="B56"/>
      <c r="C56" s="17">
        <f>1369+16</f>
        <v>1385</v>
      </c>
      <c r="D56" s="9">
        <v>9</v>
      </c>
      <c r="E56" s="9">
        <v>2</v>
      </c>
      <c r="F56" s="9">
        <v>15</v>
      </c>
      <c r="G56" s="14"/>
      <c r="H56" s="8">
        <f t="shared" si="5"/>
        <v>1411</v>
      </c>
    </row>
    <row r="57" spans="1:10" ht="15.75">
      <c r="A57" s="7" t="s">
        <v>157</v>
      </c>
      <c r="B57"/>
      <c r="C57" s="17">
        <f>1369+16</f>
        <v>1385</v>
      </c>
      <c r="D57" s="9">
        <v>9</v>
      </c>
      <c r="E57" s="9">
        <v>2</v>
      </c>
      <c r="F57" s="9">
        <v>15</v>
      </c>
      <c r="G57" s="14"/>
      <c r="H57" s="8">
        <f t="shared" si="5"/>
        <v>1411</v>
      </c>
    </row>
    <row r="58" spans="1:10" ht="15.75">
      <c r="A58" s="7" t="s">
        <v>246</v>
      </c>
      <c r="B58"/>
      <c r="C58" s="17">
        <f>1349+16</f>
        <v>1365</v>
      </c>
      <c r="D58" s="9">
        <v>9</v>
      </c>
      <c r="E58" s="9">
        <v>2</v>
      </c>
      <c r="F58" s="9">
        <v>15</v>
      </c>
      <c r="G58" s="14"/>
      <c r="H58" s="8">
        <f t="shared" si="5"/>
        <v>1391</v>
      </c>
    </row>
    <row r="59" spans="1:10" ht="15.75">
      <c r="A59" s="7"/>
      <c r="B59"/>
      <c r="C59" s="8"/>
      <c r="D59" s="9"/>
      <c r="E59" s="9"/>
      <c r="F59" s="9"/>
      <c r="G59" s="9"/>
      <c r="H59" s="9"/>
      <c r="I59" s="14"/>
      <c r="J59" s="8"/>
    </row>
    <row r="60" spans="1:10" ht="15.75">
      <c r="A60" s="7"/>
      <c r="B60"/>
      <c r="C60" s="8"/>
      <c r="D60" s="9"/>
      <c r="E60" s="9"/>
      <c r="F60" s="9"/>
      <c r="G60" s="9"/>
      <c r="H60" s="9"/>
      <c r="I60" s="14"/>
      <c r="J60" s="8"/>
    </row>
    <row r="61" spans="1:10" customFormat="1" ht="15.75">
      <c r="A61" s="5" t="s">
        <v>29</v>
      </c>
      <c r="C61" s="13"/>
      <c r="D61" s="13"/>
      <c r="E61" s="13"/>
      <c r="F61" s="13"/>
      <c r="G61" s="13"/>
      <c r="H61" s="13"/>
      <c r="I61" s="13"/>
      <c r="J61" s="8"/>
    </row>
    <row r="62" spans="1:10" customFormat="1" ht="15.75">
      <c r="A62" s="7" t="s">
        <v>158</v>
      </c>
      <c r="C62" s="8">
        <f>3080+16</f>
        <v>3096</v>
      </c>
      <c r="D62" s="9">
        <v>9</v>
      </c>
      <c r="E62" s="9">
        <v>2</v>
      </c>
      <c r="F62" s="9">
        <v>15</v>
      </c>
      <c r="G62" s="12">
        <v>0</v>
      </c>
      <c r="H62" s="8">
        <f>SUM(C62:G62)</f>
        <v>3122</v>
      </c>
    </row>
    <row r="63" spans="1:10" ht="15.75">
      <c r="A63" s="105"/>
      <c r="C63" s="107"/>
      <c r="D63" s="107"/>
      <c r="E63" s="107"/>
      <c r="F63" s="107"/>
      <c r="G63" s="107"/>
      <c r="H63" s="107"/>
      <c r="I63" s="107"/>
      <c r="J63" s="107"/>
    </row>
    <row r="64" spans="1:10" ht="15.75">
      <c r="A64" s="105"/>
    </row>
    <row r="66" spans="1:12" ht="15.75">
      <c r="A66" s="169"/>
    </row>
    <row r="67" spans="1:12" ht="15.75">
      <c r="A67" s="169"/>
    </row>
    <row r="68" spans="1:12" ht="15.75">
      <c r="A68" s="169"/>
    </row>
    <row r="69" spans="1:12" customFormat="1" ht="15.75">
      <c r="A69" s="22"/>
    </row>
    <row r="70" spans="1:12" customFormat="1" ht="20.25">
      <c r="A70" s="203" t="s">
        <v>259</v>
      </c>
      <c r="B70" s="203"/>
      <c r="C70" s="203"/>
      <c r="D70" s="203"/>
      <c r="E70" s="203"/>
      <c r="F70" s="203"/>
      <c r="G70" s="203"/>
      <c r="H70" s="203"/>
      <c r="I70" s="203"/>
      <c r="J70" s="203"/>
    </row>
    <row r="71" spans="1:12" customFormat="1" ht="23.25">
      <c r="A71" s="206" t="s">
        <v>44</v>
      </c>
      <c r="B71" s="206"/>
      <c r="C71" s="206"/>
      <c r="D71" s="206"/>
      <c r="E71" s="206"/>
      <c r="F71" s="206"/>
      <c r="G71" s="206"/>
      <c r="H71" s="206"/>
      <c r="I71" s="206"/>
    </row>
    <row r="72" spans="1:12" customFormat="1" ht="42.75">
      <c r="A72" s="202" t="s">
        <v>1</v>
      </c>
      <c r="B72" s="202"/>
      <c r="C72" s="1" t="s">
        <v>2</v>
      </c>
      <c r="D72" s="2" t="s">
        <v>3</v>
      </c>
      <c r="E72" s="3" t="s">
        <v>4</v>
      </c>
      <c r="F72" s="3" t="s">
        <v>274</v>
      </c>
      <c r="G72" s="3" t="s">
        <v>5</v>
      </c>
      <c r="H72" s="4" t="s">
        <v>6</v>
      </c>
    </row>
    <row r="73" spans="1:12" customFormat="1" ht="15.75">
      <c r="A73" s="24" t="s">
        <v>7</v>
      </c>
      <c r="B73" s="25"/>
      <c r="C73" s="23" t="s">
        <v>8</v>
      </c>
      <c r="D73" s="23" t="s">
        <v>8</v>
      </c>
      <c r="E73" s="23" t="s">
        <v>8</v>
      </c>
      <c r="F73" s="6" t="s">
        <v>8</v>
      </c>
      <c r="G73" s="23" t="s">
        <v>8</v>
      </c>
      <c r="H73" s="23" t="s">
        <v>8</v>
      </c>
    </row>
    <row r="74" spans="1:12" customFormat="1" ht="15.75">
      <c r="A74" s="7" t="s">
        <v>159</v>
      </c>
      <c r="B74" s="25"/>
      <c r="C74" s="132">
        <f>(2078*1.05)+100</f>
        <v>2281.9</v>
      </c>
      <c r="D74" s="27">
        <v>80</v>
      </c>
      <c r="E74" s="13">
        <v>20</v>
      </c>
      <c r="F74" s="27">
        <v>0</v>
      </c>
      <c r="G74" s="27">
        <v>0</v>
      </c>
      <c r="H74" s="133">
        <f t="shared" ref="H74:H79" si="6">SUM(C74:G74)</f>
        <v>2381.9</v>
      </c>
      <c r="K74" s="106"/>
      <c r="L74" s="10"/>
    </row>
    <row r="75" spans="1:12" customFormat="1" ht="15.75">
      <c r="A75" s="7" t="s">
        <v>160</v>
      </c>
      <c r="C75" s="132">
        <f t="shared" ref="C75:C79" si="7">(2078*1.05)+100</f>
        <v>2281.9</v>
      </c>
      <c r="D75" s="27">
        <v>80</v>
      </c>
      <c r="E75" s="13">
        <v>20</v>
      </c>
      <c r="F75" s="27">
        <v>0</v>
      </c>
      <c r="G75" s="27">
        <v>0</v>
      </c>
      <c r="H75" s="133">
        <f t="shared" si="6"/>
        <v>2381.9</v>
      </c>
      <c r="K75" s="106"/>
      <c r="L75" s="10"/>
    </row>
    <row r="76" spans="1:12" customFormat="1" ht="15.75">
      <c r="A76" s="7" t="s">
        <v>153</v>
      </c>
      <c r="C76" s="132">
        <f t="shared" si="7"/>
        <v>2281.9</v>
      </c>
      <c r="D76" s="27">
        <v>80</v>
      </c>
      <c r="E76" s="13">
        <v>20</v>
      </c>
      <c r="F76" s="27">
        <v>0</v>
      </c>
      <c r="G76" s="27">
        <v>0</v>
      </c>
      <c r="H76" s="133">
        <f t="shared" si="6"/>
        <v>2381.9</v>
      </c>
      <c r="K76" s="106"/>
      <c r="L76" s="10"/>
    </row>
    <row r="77" spans="1:12" customFormat="1" ht="15.75">
      <c r="A77" s="7" t="s">
        <v>154</v>
      </c>
      <c r="C77" s="132">
        <f t="shared" si="7"/>
        <v>2281.9</v>
      </c>
      <c r="D77" s="27">
        <v>80</v>
      </c>
      <c r="E77" s="13">
        <v>20</v>
      </c>
      <c r="F77" s="27">
        <v>0</v>
      </c>
      <c r="G77" s="27">
        <v>0</v>
      </c>
      <c r="H77" s="133">
        <f t="shared" si="6"/>
        <v>2381.9</v>
      </c>
      <c r="K77" s="106"/>
      <c r="L77" s="10"/>
    </row>
    <row r="78" spans="1:12" customFormat="1" ht="15.75">
      <c r="A78" s="7" t="s">
        <v>155</v>
      </c>
      <c r="C78" s="132">
        <f t="shared" si="7"/>
        <v>2281.9</v>
      </c>
      <c r="D78" s="27">
        <v>80</v>
      </c>
      <c r="E78" s="13">
        <v>20</v>
      </c>
      <c r="F78" s="27">
        <v>0</v>
      </c>
      <c r="G78" s="27">
        <v>0</v>
      </c>
      <c r="H78" s="133">
        <f t="shared" si="6"/>
        <v>2381.9</v>
      </c>
      <c r="K78" s="106"/>
      <c r="L78" s="10"/>
    </row>
    <row r="79" spans="1:12" customFormat="1" ht="15.75">
      <c r="A79" s="7" t="s">
        <v>161</v>
      </c>
      <c r="C79" s="132">
        <f t="shared" si="7"/>
        <v>2281.9</v>
      </c>
      <c r="D79" s="27">
        <v>80</v>
      </c>
      <c r="E79" s="13">
        <v>20</v>
      </c>
      <c r="F79" s="27">
        <v>0</v>
      </c>
      <c r="G79" s="27">
        <v>0</v>
      </c>
      <c r="H79" s="133">
        <f t="shared" si="6"/>
        <v>2381.9</v>
      </c>
      <c r="K79" s="106"/>
      <c r="L79" s="10"/>
    </row>
    <row r="80" spans="1:12" customFormat="1" ht="15.75">
      <c r="A80" s="7"/>
      <c r="C80" s="26"/>
      <c r="D80" s="29"/>
      <c r="E80" s="13"/>
      <c r="F80" s="13"/>
      <c r="G80" s="13"/>
      <c r="H80" s="13"/>
      <c r="I80" s="29"/>
      <c r="J80" s="28"/>
    </row>
    <row r="81" spans="1:10" customFormat="1" ht="15.75">
      <c r="A81" s="7"/>
      <c r="C81" s="26"/>
      <c r="D81" s="29"/>
      <c r="E81" s="13"/>
      <c r="F81" s="13"/>
      <c r="G81" s="13"/>
      <c r="H81" s="13"/>
      <c r="I81" s="29"/>
      <c r="J81" s="28"/>
    </row>
    <row r="82" spans="1:10" ht="15.75">
      <c r="A82" s="105"/>
      <c r="C82" s="108"/>
    </row>
    <row r="83" spans="1:10" ht="15.75">
      <c r="A83" s="105"/>
      <c r="C83" s="108"/>
    </row>
    <row r="84" spans="1:10" ht="15.75">
      <c r="A84" s="7"/>
      <c r="B84"/>
      <c r="C84" s="31"/>
      <c r="D84"/>
      <c r="E84"/>
      <c r="F84"/>
      <c r="G84"/>
      <c r="H84"/>
      <c r="I84"/>
      <c r="J84"/>
    </row>
    <row r="85" spans="1:10" ht="20.25">
      <c r="A85" s="203" t="s">
        <v>258</v>
      </c>
      <c r="B85" s="203"/>
      <c r="C85" s="203"/>
      <c r="D85" s="203"/>
      <c r="E85" s="203"/>
      <c r="F85" s="203"/>
      <c r="G85" s="203"/>
      <c r="H85" s="203"/>
      <c r="I85" s="203"/>
      <c r="J85" s="203"/>
    </row>
    <row r="86" spans="1:10" ht="20.25">
      <c r="A86" s="203" t="s">
        <v>47</v>
      </c>
      <c r="B86" s="203"/>
      <c r="C86" s="203"/>
      <c r="D86" s="203"/>
      <c r="E86" s="203"/>
      <c r="F86" s="203"/>
      <c r="G86" s="203"/>
      <c r="H86" s="203"/>
      <c r="I86" s="203"/>
      <c r="J86" s="203"/>
    </row>
    <row r="87" spans="1:10" ht="42.75">
      <c r="A87" s="202" t="s">
        <v>1</v>
      </c>
      <c r="B87" s="202"/>
      <c r="C87" s="1" t="s">
        <v>2</v>
      </c>
      <c r="D87" s="2" t="s">
        <v>3</v>
      </c>
      <c r="E87" s="3" t="s">
        <v>4</v>
      </c>
      <c r="F87" s="3" t="s">
        <v>274</v>
      </c>
      <c r="G87" s="3" t="s">
        <v>5</v>
      </c>
      <c r="H87" s="4" t="s">
        <v>6</v>
      </c>
    </row>
    <row r="88" spans="1:10" ht="15.75">
      <c r="A88" s="24" t="s">
        <v>7</v>
      </c>
      <c r="B88" s="25"/>
      <c r="C88" s="23" t="s">
        <v>8</v>
      </c>
      <c r="D88" s="23" t="s">
        <v>8</v>
      </c>
      <c r="E88" s="23" t="s">
        <v>8</v>
      </c>
      <c r="F88" s="6" t="s">
        <v>8</v>
      </c>
      <c r="G88" s="23" t="s">
        <v>8</v>
      </c>
      <c r="H88" s="23" t="s">
        <v>8</v>
      </c>
    </row>
    <row r="89" spans="1:10" ht="15.75">
      <c r="A89" s="7" t="s">
        <v>52</v>
      </c>
      <c r="B89"/>
      <c r="C89" s="132">
        <f>(1272*1.05)+100</f>
        <v>1435.6000000000001</v>
      </c>
      <c r="D89" s="26">
        <v>80</v>
      </c>
      <c r="E89" s="26">
        <v>20</v>
      </c>
      <c r="F89" s="27">
        <v>0</v>
      </c>
      <c r="G89" s="31">
        <v>0</v>
      </c>
      <c r="H89" s="26">
        <f>SUM(C89:G89)</f>
        <v>1535.6000000000001</v>
      </c>
    </row>
    <row r="90" spans="1:10" ht="15.75">
      <c r="A90" s="7" t="s">
        <v>53</v>
      </c>
      <c r="B90"/>
      <c r="C90" s="132">
        <f t="shared" ref="C90:C91" si="8">(1272*1.05)+100</f>
        <v>1435.6000000000001</v>
      </c>
      <c r="D90" s="26">
        <v>80</v>
      </c>
      <c r="E90" s="26">
        <v>20</v>
      </c>
      <c r="F90" s="27">
        <v>0</v>
      </c>
      <c r="G90" s="31">
        <v>0</v>
      </c>
      <c r="H90" s="26">
        <f>SUM(C90:G90)</f>
        <v>1535.6000000000001</v>
      </c>
    </row>
    <row r="91" spans="1:10" ht="15.75">
      <c r="A91" s="7" t="s">
        <v>54</v>
      </c>
      <c r="B91"/>
      <c r="C91" s="132">
        <f t="shared" si="8"/>
        <v>1435.6000000000001</v>
      </c>
      <c r="D91" s="26">
        <v>80</v>
      </c>
      <c r="E91" s="26">
        <v>20</v>
      </c>
      <c r="F91" s="27">
        <v>0</v>
      </c>
      <c r="G91" s="31">
        <v>0</v>
      </c>
      <c r="H91" s="26">
        <f>SUM(C91:G91)</f>
        <v>1535.6000000000001</v>
      </c>
    </row>
    <row r="92" spans="1:10">
      <c r="A92"/>
      <c r="B92"/>
      <c r="C92"/>
      <c r="D92"/>
      <c r="E92"/>
      <c r="F92"/>
      <c r="G92"/>
      <c r="H92" s="10"/>
      <c r="I92"/>
      <c r="J92"/>
    </row>
    <row r="93" spans="1:10">
      <c r="A93"/>
      <c r="B93"/>
      <c r="C93"/>
      <c r="D93"/>
      <c r="E93"/>
      <c r="F93"/>
      <c r="G93"/>
      <c r="H93"/>
      <c r="I93"/>
      <c r="J93"/>
    </row>
    <row r="94" spans="1:10">
      <c r="A94"/>
      <c r="B94"/>
      <c r="C94"/>
      <c r="D94"/>
      <c r="E94"/>
      <c r="F94"/>
      <c r="G94"/>
      <c r="H94"/>
      <c r="I94"/>
      <c r="J94"/>
    </row>
    <row r="95" spans="1:10">
      <c r="A95"/>
      <c r="B95"/>
      <c r="C95"/>
      <c r="D95"/>
      <c r="E95"/>
      <c r="F95"/>
      <c r="G95"/>
      <c r="H95"/>
      <c r="I95"/>
      <c r="J95"/>
    </row>
  </sheetData>
  <mergeCells count="12">
    <mergeCell ref="A87:B87"/>
    <mergeCell ref="A1:J1"/>
    <mergeCell ref="A2:J2"/>
    <mergeCell ref="A3:B3"/>
    <mergeCell ref="A35:J35"/>
    <mergeCell ref="A36:J36"/>
    <mergeCell ref="A37:B37"/>
    <mergeCell ref="A70:J70"/>
    <mergeCell ref="A71:I71"/>
    <mergeCell ref="A72:B72"/>
    <mergeCell ref="A85:J85"/>
    <mergeCell ref="A86:J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50"/>
  <sheetViews>
    <sheetView tabSelected="1" topLeftCell="A22" workbookViewId="0">
      <selection activeCell="B147" sqref="B147"/>
    </sheetView>
  </sheetViews>
  <sheetFormatPr defaultRowHeight="15"/>
  <cols>
    <col min="1" max="1" width="34.5703125" customWidth="1"/>
    <col min="2" max="2" width="10.140625" customWidth="1"/>
    <col min="3" max="3" width="8" bestFit="1" customWidth="1"/>
    <col min="4" max="4" width="6.7109375" customWidth="1"/>
    <col min="5" max="5" width="8.85546875" customWidth="1"/>
    <col min="6" max="8" width="13.28515625" customWidth="1"/>
    <col min="9" max="9" width="10" customWidth="1"/>
    <col min="10" max="10" width="11.85546875" customWidth="1"/>
    <col min="11" max="11" width="9.28515625" customWidth="1"/>
    <col min="12" max="12" width="7.28515625" customWidth="1"/>
    <col min="13" max="13" width="7.7109375" customWidth="1"/>
    <col min="14" max="14" width="9.28515625" customWidth="1"/>
    <col min="15" max="15" width="9.5703125" customWidth="1"/>
  </cols>
  <sheetData>
    <row r="1" spans="1:15" ht="20.25">
      <c r="A1" s="203" t="s">
        <v>260</v>
      </c>
      <c r="B1" s="203"/>
      <c r="C1" s="203"/>
      <c r="D1" s="203"/>
      <c r="E1" s="203"/>
      <c r="F1" s="203"/>
      <c r="G1" s="203"/>
      <c r="H1" s="203"/>
      <c r="I1" s="203"/>
      <c r="J1" s="203"/>
      <c r="K1" s="93"/>
      <c r="L1" s="93"/>
      <c r="M1" s="93"/>
      <c r="N1" s="93"/>
      <c r="O1" s="93"/>
    </row>
    <row r="2" spans="1:15" ht="20.25">
      <c r="A2" s="219" t="s">
        <v>55</v>
      </c>
      <c r="B2" s="219"/>
      <c r="C2" s="219"/>
      <c r="D2" s="219"/>
      <c r="E2" s="219"/>
      <c r="F2" s="219"/>
      <c r="G2" s="219"/>
      <c r="H2" s="219"/>
      <c r="I2" s="219"/>
      <c r="J2" s="219"/>
      <c r="K2" s="94"/>
      <c r="L2" s="94"/>
      <c r="M2" s="94"/>
      <c r="N2" s="94"/>
      <c r="O2" s="94"/>
    </row>
    <row r="3" spans="1:15" ht="18.75">
      <c r="A3" s="40"/>
      <c r="B3" s="212" t="s">
        <v>56</v>
      </c>
      <c r="C3" s="213"/>
      <c r="D3" s="213"/>
      <c r="E3" s="213"/>
      <c r="F3" s="213"/>
      <c r="G3" s="213"/>
      <c r="H3" s="213"/>
      <c r="I3" s="213"/>
      <c r="J3" s="214"/>
    </row>
    <row r="4" spans="1:15" ht="42.75">
      <c r="A4" s="41" t="s">
        <v>1</v>
      </c>
      <c r="B4" s="42" t="s">
        <v>2</v>
      </c>
      <c r="C4" s="43" t="s">
        <v>3</v>
      </c>
      <c r="D4" s="44" t="s">
        <v>57</v>
      </c>
      <c r="E4" s="3" t="s">
        <v>201</v>
      </c>
      <c r="F4" s="3" t="s">
        <v>274</v>
      </c>
      <c r="G4" s="45" t="s">
        <v>58</v>
      </c>
      <c r="H4" s="43" t="s">
        <v>6</v>
      </c>
    </row>
    <row r="5" spans="1:15" ht="15.75">
      <c r="A5" s="40"/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6" t="s">
        <v>8</v>
      </c>
    </row>
    <row r="6" spans="1:15">
      <c r="A6" s="46" t="s">
        <v>60</v>
      </c>
      <c r="B6" s="127">
        <f>(2980.72*1.05)+100</f>
        <v>3229.7559999999999</v>
      </c>
      <c r="C6" s="127">
        <v>80</v>
      </c>
      <c r="D6" s="48">
        <v>20</v>
      </c>
      <c r="E6" s="48">
        <v>200</v>
      </c>
      <c r="F6" s="48">
        <v>100</v>
      </c>
      <c r="G6" s="47">
        <v>2000</v>
      </c>
      <c r="H6" s="136">
        <f>SUM(B6:G6)</f>
        <v>5629.7559999999994</v>
      </c>
    </row>
    <row r="7" spans="1:15">
      <c r="A7" s="46" t="s">
        <v>61</v>
      </c>
      <c r="B7" s="127">
        <f>(4596.16*1.1)+100</f>
        <v>5155.7759999999998</v>
      </c>
      <c r="C7" s="127">
        <v>80</v>
      </c>
      <c r="D7" s="48">
        <v>20</v>
      </c>
      <c r="E7" s="48">
        <v>200</v>
      </c>
      <c r="F7" s="48">
        <v>100</v>
      </c>
      <c r="G7" s="47">
        <v>2000</v>
      </c>
      <c r="H7" s="136">
        <f>SUM(B7:G7)</f>
        <v>7555.7759999999998</v>
      </c>
    </row>
    <row r="9" spans="1:15">
      <c r="M9" s="49"/>
    </row>
    <row r="10" spans="1:15">
      <c r="A10" s="21" t="s">
        <v>30</v>
      </c>
    </row>
    <row r="11" spans="1:15">
      <c r="A11" t="s">
        <v>278</v>
      </c>
      <c r="M11" s="49"/>
    </row>
    <row r="12" spans="1:15">
      <c r="A12" t="s">
        <v>277</v>
      </c>
      <c r="M12" s="49"/>
    </row>
    <row r="13" spans="1:15">
      <c r="M13" s="49"/>
    </row>
    <row r="14" spans="1:15">
      <c r="M14" s="49"/>
    </row>
    <row r="15" spans="1:15" ht="20.25">
      <c r="A15" s="203" t="s">
        <v>260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93"/>
      <c r="L15" s="93"/>
      <c r="M15" s="93"/>
      <c r="N15" s="93"/>
      <c r="O15" s="93"/>
    </row>
    <row r="16" spans="1:15" ht="20.25">
      <c r="A16" s="219" t="s">
        <v>269</v>
      </c>
      <c r="B16" s="219"/>
      <c r="C16" s="219"/>
      <c r="D16" s="219"/>
      <c r="E16" s="219"/>
      <c r="F16" s="219"/>
      <c r="G16" s="219"/>
      <c r="H16" s="219"/>
      <c r="I16" s="219"/>
      <c r="J16" s="219"/>
      <c r="K16" s="94"/>
      <c r="L16" s="94"/>
      <c r="M16" s="94"/>
      <c r="N16" s="94"/>
      <c r="O16" s="94"/>
    </row>
    <row r="17" spans="1:15" ht="18.75">
      <c r="A17" s="40"/>
      <c r="B17" s="212" t="s">
        <v>56</v>
      </c>
      <c r="C17" s="213"/>
      <c r="D17" s="213"/>
      <c r="E17" s="213"/>
      <c r="F17" s="213"/>
      <c r="G17" s="213"/>
      <c r="H17" s="213"/>
      <c r="I17" s="213"/>
      <c r="J17" s="214"/>
    </row>
    <row r="18" spans="1:15" ht="42.75">
      <c r="A18" s="41" t="s">
        <v>1</v>
      </c>
      <c r="B18" s="42" t="s">
        <v>2</v>
      </c>
      <c r="C18" s="43" t="s">
        <v>3</v>
      </c>
      <c r="D18" s="44" t="s">
        <v>57</v>
      </c>
      <c r="E18" s="3" t="s">
        <v>201</v>
      </c>
      <c r="F18" s="3" t="s">
        <v>274</v>
      </c>
      <c r="G18" s="45" t="s">
        <v>58</v>
      </c>
      <c r="H18" s="43" t="s">
        <v>6</v>
      </c>
    </row>
    <row r="19" spans="1:15" ht="15.75">
      <c r="A19" s="40"/>
      <c r="B19" s="6" t="s">
        <v>8</v>
      </c>
      <c r="C19" s="6" t="s">
        <v>8</v>
      </c>
      <c r="D19" s="6" t="s">
        <v>8</v>
      </c>
      <c r="E19" s="6" t="s">
        <v>8</v>
      </c>
      <c r="F19" s="6" t="s">
        <v>8</v>
      </c>
      <c r="G19" s="6" t="s">
        <v>8</v>
      </c>
      <c r="H19" s="6" t="s">
        <v>8</v>
      </c>
    </row>
    <row r="20" spans="1:15">
      <c r="A20" s="46" t="s">
        <v>59</v>
      </c>
      <c r="B20" s="127">
        <f>(3641.1*1.1)+100</f>
        <v>4105.21</v>
      </c>
      <c r="C20" s="127">
        <v>80</v>
      </c>
      <c r="D20" s="48">
        <v>20</v>
      </c>
      <c r="E20" s="48">
        <v>200</v>
      </c>
      <c r="F20" s="48">
        <v>100</v>
      </c>
      <c r="G20" s="47">
        <v>2000</v>
      </c>
      <c r="H20" s="136">
        <f>SUM(B20:G20)</f>
        <v>6505.21</v>
      </c>
    </row>
    <row r="21" spans="1:15">
      <c r="A21" s="150"/>
      <c r="B21" s="179"/>
      <c r="C21" s="179"/>
      <c r="D21" s="53"/>
      <c r="E21" s="53"/>
      <c r="F21" s="53"/>
      <c r="G21" s="53"/>
      <c r="H21" s="53"/>
      <c r="I21" s="52"/>
      <c r="J21" s="171"/>
    </row>
    <row r="22" spans="1:15">
      <c r="A22" s="21" t="s">
        <v>30</v>
      </c>
    </row>
    <row r="23" spans="1:15">
      <c r="A23" t="s">
        <v>280</v>
      </c>
      <c r="M23" s="49"/>
    </row>
    <row r="24" spans="1:15">
      <c r="A24" s="150"/>
      <c r="B24" s="179"/>
      <c r="C24" s="179"/>
      <c r="D24" s="53"/>
      <c r="E24" s="53"/>
      <c r="F24" s="53"/>
      <c r="G24" s="53"/>
      <c r="H24" s="53"/>
      <c r="I24" s="52"/>
      <c r="J24" s="171"/>
    </row>
    <row r="25" spans="1:15">
      <c r="A25" s="150"/>
      <c r="B25" s="179"/>
      <c r="C25" s="179"/>
      <c r="D25" s="53"/>
      <c r="E25" s="53"/>
      <c r="F25" s="53"/>
      <c r="G25" s="53"/>
      <c r="H25" s="53"/>
      <c r="I25" s="52"/>
      <c r="J25" s="171"/>
    </row>
    <row r="26" spans="1:15">
      <c r="A26" s="150"/>
      <c r="B26" s="179"/>
      <c r="C26" s="179"/>
      <c r="D26" s="53"/>
      <c r="E26" s="53"/>
      <c r="F26" s="53"/>
      <c r="G26" s="53"/>
      <c r="H26" s="53"/>
      <c r="I26" s="52"/>
      <c r="J26" s="171"/>
    </row>
    <row r="27" spans="1:15" ht="20.25">
      <c r="A27" s="203" t="s">
        <v>260</v>
      </c>
      <c r="B27" s="203"/>
      <c r="C27" s="203"/>
      <c r="D27" s="203"/>
      <c r="E27" s="203"/>
      <c r="F27" s="203"/>
      <c r="G27" s="203"/>
      <c r="H27" s="203"/>
      <c r="I27" s="203"/>
      <c r="J27" s="203"/>
      <c r="K27" s="93"/>
      <c r="L27" s="93"/>
      <c r="M27" s="93"/>
      <c r="N27" s="93"/>
      <c r="O27" s="93"/>
    </row>
    <row r="28" spans="1:15" ht="20.25">
      <c r="A28" s="219" t="s">
        <v>62</v>
      </c>
      <c r="B28" s="219"/>
      <c r="C28" s="219"/>
      <c r="D28" s="219"/>
      <c r="E28" s="219"/>
      <c r="F28" s="219"/>
      <c r="G28" s="219"/>
      <c r="H28" s="219"/>
      <c r="I28" s="219"/>
      <c r="J28" s="219"/>
      <c r="K28" s="94"/>
      <c r="L28" s="94"/>
      <c r="M28" s="94"/>
      <c r="N28" s="94"/>
      <c r="O28" s="94"/>
    </row>
    <row r="29" spans="1:15" ht="18.75">
      <c r="A29" s="40"/>
      <c r="B29" s="212" t="s">
        <v>56</v>
      </c>
      <c r="C29" s="213"/>
      <c r="D29" s="213"/>
      <c r="E29" s="213"/>
      <c r="F29" s="213"/>
      <c r="G29" s="213"/>
      <c r="H29" s="213"/>
      <c r="I29" s="213"/>
      <c r="J29" s="214"/>
    </row>
    <row r="30" spans="1:15" ht="42.75">
      <c r="A30" s="41" t="s">
        <v>1</v>
      </c>
      <c r="B30" s="42" t="s">
        <v>2</v>
      </c>
      <c r="C30" s="50" t="s">
        <v>3</v>
      </c>
      <c r="D30" s="44" t="s">
        <v>57</v>
      </c>
      <c r="E30" s="3" t="s">
        <v>201</v>
      </c>
      <c r="F30" s="3" t="s">
        <v>274</v>
      </c>
      <c r="G30" s="45" t="s">
        <v>58</v>
      </c>
      <c r="H30" s="43" t="s">
        <v>6</v>
      </c>
    </row>
    <row r="31" spans="1:15" ht="15.75">
      <c r="A31" s="40"/>
      <c r="B31" s="6" t="s">
        <v>8</v>
      </c>
      <c r="C31" s="6" t="s">
        <v>8</v>
      </c>
      <c r="D31" s="6" t="s">
        <v>8</v>
      </c>
      <c r="E31" s="6" t="s">
        <v>8</v>
      </c>
      <c r="F31" s="6" t="s">
        <v>8</v>
      </c>
      <c r="G31" s="6" t="s">
        <v>8</v>
      </c>
      <c r="H31" s="6" t="s">
        <v>8</v>
      </c>
    </row>
    <row r="32" spans="1:15" ht="15.75">
      <c r="A32" s="51" t="s">
        <v>63</v>
      </c>
      <c r="B32" s="127">
        <f>(3964.665*1.1)+100</f>
        <v>4461.1315000000004</v>
      </c>
      <c r="C32" s="127">
        <v>80</v>
      </c>
      <c r="D32" s="48">
        <v>20</v>
      </c>
      <c r="E32" s="48">
        <v>200</v>
      </c>
      <c r="F32" s="48">
        <v>100</v>
      </c>
      <c r="G32" s="47">
        <f>800*1.05</f>
        <v>840</v>
      </c>
      <c r="H32" s="136">
        <f t="shared" ref="H32:H38" si="0">SUM(B32:G32)</f>
        <v>5701.1315000000004</v>
      </c>
      <c r="J32" s="52"/>
      <c r="M32" s="115"/>
    </row>
    <row r="33" spans="1:15" ht="15.75">
      <c r="A33" s="51" t="s">
        <v>64</v>
      </c>
      <c r="B33" s="183">
        <f>(3243.865*1.05)+100</f>
        <v>3506.05825</v>
      </c>
      <c r="C33" s="127">
        <v>80</v>
      </c>
      <c r="D33" s="48">
        <v>20</v>
      </c>
      <c r="E33" s="48">
        <v>200</v>
      </c>
      <c r="F33" s="48">
        <v>100</v>
      </c>
      <c r="G33" s="47">
        <f t="shared" ref="G33:G38" si="1">800*1.05</f>
        <v>840</v>
      </c>
      <c r="H33" s="136">
        <f t="shared" si="0"/>
        <v>4746.05825</v>
      </c>
      <c r="J33" s="52"/>
      <c r="M33" s="115"/>
    </row>
    <row r="34" spans="1:15" ht="15.75">
      <c r="A34" s="51" t="s">
        <v>65</v>
      </c>
      <c r="B34" s="183">
        <f>(3243.865*1.05)+100</f>
        <v>3506.05825</v>
      </c>
      <c r="C34" s="127">
        <v>80</v>
      </c>
      <c r="D34" s="48">
        <v>20</v>
      </c>
      <c r="E34" s="48">
        <v>200</v>
      </c>
      <c r="F34" s="48">
        <v>100</v>
      </c>
      <c r="G34" s="47">
        <f t="shared" si="1"/>
        <v>840</v>
      </c>
      <c r="H34" s="136">
        <f t="shared" si="0"/>
        <v>4746.05825</v>
      </c>
      <c r="J34" s="52"/>
      <c r="M34" s="115"/>
    </row>
    <row r="35" spans="1:15" ht="15.75">
      <c r="A35" s="51" t="s">
        <v>66</v>
      </c>
      <c r="B35" s="183">
        <f>(3964.665*1.05)+100</f>
        <v>4262.8982500000002</v>
      </c>
      <c r="C35" s="127">
        <v>80</v>
      </c>
      <c r="D35" s="48">
        <v>20</v>
      </c>
      <c r="E35" s="48">
        <v>200</v>
      </c>
      <c r="F35" s="48">
        <v>100</v>
      </c>
      <c r="G35" s="47">
        <f t="shared" si="1"/>
        <v>840</v>
      </c>
      <c r="H35" s="136">
        <f t="shared" si="0"/>
        <v>5502.8982500000002</v>
      </c>
      <c r="J35" s="52"/>
      <c r="M35" s="115"/>
    </row>
    <row r="36" spans="1:15" ht="15.75">
      <c r="A36" s="51" t="s">
        <v>67</v>
      </c>
      <c r="B36" s="183">
        <f>(3243.865*1.05)+100</f>
        <v>3506.05825</v>
      </c>
      <c r="C36" s="127">
        <v>80</v>
      </c>
      <c r="D36" s="48">
        <v>20</v>
      </c>
      <c r="E36" s="48">
        <v>200</v>
      </c>
      <c r="F36" s="48">
        <v>100</v>
      </c>
      <c r="G36" s="47">
        <f t="shared" si="1"/>
        <v>840</v>
      </c>
      <c r="H36" s="136">
        <f t="shared" si="0"/>
        <v>4746.05825</v>
      </c>
      <c r="J36" s="52"/>
      <c r="M36" s="115"/>
    </row>
    <row r="37" spans="1:15" ht="15.75">
      <c r="A37" s="51" t="s">
        <v>68</v>
      </c>
      <c r="B37" s="183">
        <f>(3243.865*1.05)+100</f>
        <v>3506.05825</v>
      </c>
      <c r="C37" s="127">
        <v>80</v>
      </c>
      <c r="D37" s="48">
        <v>20</v>
      </c>
      <c r="E37" s="48">
        <v>200</v>
      </c>
      <c r="F37" s="48">
        <v>100</v>
      </c>
      <c r="G37" s="47">
        <f t="shared" si="1"/>
        <v>840</v>
      </c>
      <c r="H37" s="136">
        <f t="shared" si="0"/>
        <v>4746.05825</v>
      </c>
      <c r="J37" s="52"/>
      <c r="M37" s="115"/>
    </row>
    <row r="38" spans="1:15" ht="15.75">
      <c r="A38" s="51" t="s">
        <v>69</v>
      </c>
      <c r="B38" s="183">
        <f>(3243.865*1.05)+100</f>
        <v>3506.05825</v>
      </c>
      <c r="C38" s="127">
        <v>80</v>
      </c>
      <c r="D38" s="48">
        <v>20</v>
      </c>
      <c r="E38" s="48">
        <v>200</v>
      </c>
      <c r="F38" s="48">
        <v>100</v>
      </c>
      <c r="G38" s="47">
        <f t="shared" si="1"/>
        <v>840</v>
      </c>
      <c r="H38" s="136">
        <f t="shared" si="0"/>
        <v>4746.05825</v>
      </c>
      <c r="J38" s="52"/>
      <c r="M38" s="115"/>
    </row>
    <row r="39" spans="1:15" ht="15.75">
      <c r="A39" s="7"/>
      <c r="B39" s="52"/>
      <c r="C39" s="53"/>
      <c r="D39" s="53"/>
      <c r="E39" s="53"/>
      <c r="F39" s="53"/>
      <c r="G39" s="53"/>
      <c r="H39" s="53"/>
      <c r="I39" s="52"/>
      <c r="J39" s="54"/>
      <c r="K39" s="52"/>
      <c r="L39" s="53"/>
      <c r="M39" s="53"/>
      <c r="N39" s="52"/>
      <c r="O39" s="55"/>
    </row>
    <row r="40" spans="1:15" ht="15.75">
      <c r="A40" s="21" t="s">
        <v>30</v>
      </c>
      <c r="L40" s="56"/>
      <c r="M40" s="56"/>
      <c r="N40" s="57"/>
      <c r="O40" s="55"/>
    </row>
    <row r="41" spans="1:15">
      <c r="A41" t="s">
        <v>261</v>
      </c>
      <c r="M41" s="49"/>
    </row>
    <row r="42" spans="1:15">
      <c r="M42" s="49"/>
    </row>
    <row r="43" spans="1:15">
      <c r="M43" s="49"/>
    </row>
    <row r="44" spans="1:15">
      <c r="M44" s="49"/>
    </row>
    <row r="45" spans="1:15" ht="20.25">
      <c r="A45" s="203" t="s">
        <v>260</v>
      </c>
      <c r="B45" s="203"/>
      <c r="C45" s="203"/>
      <c r="D45" s="203"/>
      <c r="E45" s="203"/>
      <c r="F45" s="203"/>
      <c r="G45" s="203"/>
      <c r="H45" s="203"/>
      <c r="I45" s="203"/>
      <c r="J45" s="203"/>
      <c r="K45" s="93"/>
      <c r="L45" s="93"/>
      <c r="M45" s="93"/>
      <c r="N45" s="93"/>
      <c r="O45" s="93"/>
    </row>
    <row r="46" spans="1:15" ht="20.25">
      <c r="A46" s="219" t="s">
        <v>70</v>
      </c>
      <c r="B46" s="219"/>
      <c r="C46" s="219"/>
      <c r="D46" s="219"/>
      <c r="E46" s="219"/>
      <c r="F46" s="219"/>
      <c r="G46" s="219"/>
      <c r="H46" s="219"/>
      <c r="I46" s="219"/>
      <c r="J46" s="219"/>
      <c r="K46" s="94"/>
      <c r="L46" s="94"/>
      <c r="M46" s="94"/>
      <c r="N46" s="94"/>
      <c r="O46" s="94"/>
    </row>
    <row r="47" spans="1:15" ht="18.75">
      <c r="A47" s="40"/>
      <c r="B47" s="212" t="s">
        <v>56</v>
      </c>
      <c r="C47" s="213"/>
      <c r="D47" s="213"/>
      <c r="E47" s="213"/>
      <c r="F47" s="213"/>
      <c r="G47" s="213"/>
      <c r="H47" s="213"/>
      <c r="I47" s="213"/>
      <c r="J47" s="214"/>
    </row>
    <row r="48" spans="1:15" ht="42.75">
      <c r="A48" s="41" t="s">
        <v>1</v>
      </c>
      <c r="B48" s="42" t="s">
        <v>2</v>
      </c>
      <c r="C48" s="43" t="s">
        <v>3</v>
      </c>
      <c r="D48" s="44" t="s">
        <v>57</v>
      </c>
      <c r="E48" s="3" t="s">
        <v>201</v>
      </c>
      <c r="F48" s="3" t="s">
        <v>274</v>
      </c>
      <c r="G48" s="45" t="s">
        <v>58</v>
      </c>
      <c r="H48" s="43" t="s">
        <v>6</v>
      </c>
    </row>
    <row r="49" spans="1:15" ht="15.75">
      <c r="A49" s="40"/>
      <c r="B49" s="6" t="s">
        <v>8</v>
      </c>
      <c r="C49" s="6" t="s">
        <v>8</v>
      </c>
      <c r="D49" s="6" t="s">
        <v>8</v>
      </c>
      <c r="E49" s="6" t="s">
        <v>8</v>
      </c>
      <c r="F49" s="6" t="s">
        <v>8</v>
      </c>
      <c r="G49" s="6" t="s">
        <v>8</v>
      </c>
      <c r="H49" s="6" t="s">
        <v>8</v>
      </c>
    </row>
    <row r="50" spans="1:15" ht="15.75">
      <c r="A50" s="51" t="s">
        <v>71</v>
      </c>
      <c r="B50" s="177">
        <f>(4097.165*1.05)+100</f>
        <v>4402.0232500000002</v>
      </c>
      <c r="C50" s="127">
        <v>80</v>
      </c>
      <c r="D50" s="48">
        <v>20</v>
      </c>
      <c r="E50" s="48">
        <v>200</v>
      </c>
      <c r="F50" s="48">
        <v>100</v>
      </c>
      <c r="G50" s="47">
        <v>600</v>
      </c>
      <c r="H50" s="136">
        <f>SUM(B50:G50)</f>
        <v>5402.0232500000002</v>
      </c>
    </row>
    <row r="51" spans="1:15" ht="15.75">
      <c r="A51" s="51" t="s">
        <v>72</v>
      </c>
      <c r="B51" s="177">
        <f>(4097.165*1.05)+100</f>
        <v>4402.0232500000002</v>
      </c>
      <c r="C51" s="127">
        <v>80</v>
      </c>
      <c r="D51" s="48">
        <v>20</v>
      </c>
      <c r="E51" s="48">
        <v>200</v>
      </c>
      <c r="F51" s="48">
        <v>100</v>
      </c>
      <c r="G51" s="47">
        <v>600</v>
      </c>
      <c r="H51" s="136">
        <f>SUM(B51:G51)</f>
        <v>5402.0232500000002</v>
      </c>
    </row>
    <row r="52" spans="1:15" ht="15.75">
      <c r="A52" s="51" t="s">
        <v>73</v>
      </c>
      <c r="B52" s="177">
        <f>(3074*1.05)+100</f>
        <v>3327.7000000000003</v>
      </c>
      <c r="C52" s="127">
        <v>80</v>
      </c>
      <c r="D52" s="48">
        <v>20</v>
      </c>
      <c r="E52" s="48">
        <v>200</v>
      </c>
      <c r="F52" s="48">
        <v>100</v>
      </c>
      <c r="G52" s="48">
        <v>0</v>
      </c>
      <c r="H52" s="136">
        <f>SUM(B52:G52)</f>
        <v>3727.7000000000003</v>
      </c>
    </row>
    <row r="53" spans="1:15" ht="15.75">
      <c r="A53" s="51" t="s">
        <v>74</v>
      </c>
      <c r="B53" s="177">
        <f>(3074*1.05)+100</f>
        <v>3327.7000000000003</v>
      </c>
      <c r="C53" s="127">
        <v>80</v>
      </c>
      <c r="D53" s="48">
        <v>20</v>
      </c>
      <c r="E53" s="48">
        <v>200</v>
      </c>
      <c r="F53" s="48">
        <v>100</v>
      </c>
      <c r="G53" s="48">
        <v>0</v>
      </c>
      <c r="H53" s="136">
        <f>SUM(B53:G53)</f>
        <v>3727.7000000000003</v>
      </c>
    </row>
    <row r="54" spans="1:15" ht="15.75">
      <c r="A54" s="7"/>
      <c r="B54" s="57"/>
      <c r="C54" s="56"/>
      <c r="D54" s="56"/>
      <c r="E54" s="56"/>
      <c r="F54" s="56"/>
      <c r="G54" s="56"/>
      <c r="H54" s="56"/>
      <c r="I54" s="57"/>
      <c r="J54" s="54"/>
      <c r="K54" s="57"/>
      <c r="L54" s="56"/>
      <c r="M54" s="56"/>
      <c r="N54" s="56"/>
      <c r="O54" s="55"/>
    </row>
    <row r="55" spans="1:15" ht="15.75">
      <c r="A55" s="21" t="s">
        <v>30</v>
      </c>
      <c r="B55" s="57"/>
      <c r="C55" s="56"/>
      <c r="D55" s="56"/>
      <c r="E55" s="56"/>
      <c r="F55" s="56"/>
      <c r="G55" s="56"/>
      <c r="H55" s="56"/>
      <c r="I55" s="57"/>
      <c r="J55" s="54"/>
      <c r="K55" s="57"/>
      <c r="L55" s="56"/>
      <c r="M55" s="56"/>
      <c r="N55" s="56"/>
      <c r="O55" s="55"/>
    </row>
    <row r="56" spans="1:15" ht="15.75">
      <c r="A56" t="s">
        <v>262</v>
      </c>
      <c r="B56" s="57"/>
      <c r="C56" s="56"/>
      <c r="D56" s="56"/>
      <c r="E56" s="56"/>
      <c r="F56" s="56"/>
      <c r="G56" s="56"/>
      <c r="H56" s="56"/>
      <c r="I56" s="57"/>
      <c r="J56" s="54"/>
      <c r="K56" s="57"/>
      <c r="L56" s="56"/>
      <c r="M56" s="56"/>
      <c r="N56" s="56"/>
      <c r="O56" s="55"/>
    </row>
    <row r="57" spans="1:15" ht="15.75">
      <c r="B57" s="57"/>
      <c r="C57" s="56"/>
      <c r="D57" s="56"/>
      <c r="E57" s="56"/>
      <c r="F57" s="56"/>
      <c r="G57" s="56"/>
      <c r="H57" s="56"/>
      <c r="I57" s="57"/>
      <c r="J57" s="54"/>
      <c r="K57" s="57"/>
      <c r="L57" s="56"/>
      <c r="M57" s="56"/>
      <c r="N57" s="56"/>
      <c r="O57" s="55"/>
    </row>
    <row r="58" spans="1:15" ht="15.75">
      <c r="B58" s="57"/>
      <c r="C58" s="56"/>
      <c r="D58" s="56"/>
      <c r="E58" s="56"/>
      <c r="F58" s="56"/>
      <c r="G58" s="56"/>
      <c r="H58" s="56"/>
      <c r="I58" s="57"/>
      <c r="J58" s="54"/>
      <c r="K58" s="57"/>
      <c r="L58" s="56"/>
      <c r="M58" s="56"/>
      <c r="N58" s="56"/>
      <c r="O58" s="55"/>
    </row>
    <row r="59" spans="1:15" ht="15.75">
      <c r="B59" s="57"/>
      <c r="C59" s="56"/>
      <c r="D59" s="56"/>
      <c r="E59" s="56"/>
      <c r="F59" s="56"/>
      <c r="G59" s="56"/>
      <c r="H59" s="56"/>
      <c r="I59" s="57"/>
      <c r="J59" s="54"/>
      <c r="K59" s="57"/>
      <c r="L59" s="56"/>
      <c r="M59" s="56"/>
      <c r="N59" s="56"/>
      <c r="O59" s="55"/>
    </row>
    <row r="60" spans="1:15" ht="15.75">
      <c r="B60" s="57"/>
      <c r="C60" s="56"/>
      <c r="D60" s="56"/>
      <c r="E60" s="56"/>
      <c r="F60" s="56"/>
      <c r="G60" s="56"/>
      <c r="H60" s="56"/>
      <c r="I60" s="57"/>
      <c r="J60" s="54"/>
      <c r="K60" s="57"/>
      <c r="L60" s="56"/>
      <c r="M60" s="56"/>
      <c r="N60" s="56"/>
      <c r="O60" s="55"/>
    </row>
    <row r="61" spans="1:15" ht="15.75">
      <c r="B61" s="57"/>
      <c r="C61" s="56"/>
      <c r="D61" s="56"/>
      <c r="E61" s="56"/>
      <c r="F61" s="56"/>
      <c r="G61" s="56"/>
      <c r="H61" s="56"/>
      <c r="I61" s="57"/>
      <c r="J61" s="54"/>
      <c r="K61" s="57"/>
      <c r="L61" s="56"/>
      <c r="M61" s="56"/>
      <c r="N61" s="56"/>
      <c r="O61" s="55"/>
    </row>
    <row r="62" spans="1:15" ht="20.25">
      <c r="A62" s="203" t="s">
        <v>260</v>
      </c>
      <c r="B62" s="203"/>
      <c r="C62" s="203"/>
      <c r="D62" s="203"/>
      <c r="E62" s="203"/>
      <c r="F62" s="203"/>
      <c r="G62" s="203"/>
      <c r="H62" s="203"/>
      <c r="I62" s="203"/>
      <c r="J62" s="203"/>
      <c r="K62" s="93"/>
      <c r="L62" s="93"/>
      <c r="M62" s="93"/>
      <c r="N62" s="93"/>
      <c r="O62" s="93"/>
    </row>
    <row r="63" spans="1:15" ht="20.25">
      <c r="A63" s="216" t="s">
        <v>75</v>
      </c>
      <c r="B63" s="216"/>
      <c r="C63" s="216"/>
      <c r="D63" s="216"/>
      <c r="E63" s="216"/>
      <c r="F63" s="216"/>
      <c r="G63" s="216"/>
      <c r="H63" s="216"/>
      <c r="I63" s="216"/>
      <c r="J63" s="216"/>
      <c r="K63" s="94"/>
      <c r="L63" s="94"/>
      <c r="M63" s="94"/>
      <c r="N63" s="94"/>
      <c r="O63" s="94"/>
    </row>
    <row r="64" spans="1:15" ht="18.75">
      <c r="A64" s="40"/>
      <c r="B64" s="212" t="s">
        <v>56</v>
      </c>
      <c r="C64" s="213"/>
      <c r="D64" s="213"/>
      <c r="E64" s="213"/>
      <c r="F64" s="213"/>
      <c r="G64" s="213"/>
      <c r="H64" s="213"/>
      <c r="I64" s="213"/>
      <c r="J64" s="214"/>
      <c r="K64" s="218"/>
      <c r="L64" s="218"/>
      <c r="M64" s="218"/>
      <c r="N64" s="218"/>
      <c r="O64" s="218"/>
    </row>
    <row r="65" spans="1:15" ht="42.75">
      <c r="A65" s="41" t="s">
        <v>1</v>
      </c>
      <c r="B65" s="42" t="s">
        <v>2</v>
      </c>
      <c r="C65" s="43" t="s">
        <v>3</v>
      </c>
      <c r="D65" s="44" t="s">
        <v>57</v>
      </c>
      <c r="E65" s="3" t="s">
        <v>201</v>
      </c>
      <c r="F65" s="3" t="s">
        <v>274</v>
      </c>
      <c r="G65" s="45" t="s">
        <v>58</v>
      </c>
      <c r="H65" s="43" t="s">
        <v>6</v>
      </c>
      <c r="I65" s="3"/>
      <c r="J65" s="58"/>
      <c r="K65" s="59"/>
      <c r="L65" s="60"/>
      <c r="M65" s="58"/>
    </row>
    <row r="66" spans="1:15" ht="15.75">
      <c r="A66" s="40"/>
      <c r="B66" s="6" t="s">
        <v>8</v>
      </c>
      <c r="C66" s="6" t="s">
        <v>8</v>
      </c>
      <c r="D66" s="6" t="s">
        <v>8</v>
      </c>
      <c r="E66" s="6" t="s">
        <v>8</v>
      </c>
      <c r="F66" s="6" t="s">
        <v>8</v>
      </c>
      <c r="G66" s="6" t="s">
        <v>8</v>
      </c>
      <c r="H66" s="6" t="s">
        <v>8</v>
      </c>
      <c r="I66" s="2"/>
      <c r="J66" s="2"/>
      <c r="K66" s="2"/>
      <c r="L66" s="2"/>
      <c r="M66" s="2"/>
    </row>
    <row r="67" spans="1:15" ht="15.75">
      <c r="A67" s="51" t="s">
        <v>76</v>
      </c>
      <c r="B67" s="137">
        <f>(5046*1.1)+100</f>
        <v>5650.6</v>
      </c>
      <c r="C67" s="127">
        <v>80</v>
      </c>
      <c r="D67" s="48">
        <v>20</v>
      </c>
      <c r="E67" s="62">
        <v>200</v>
      </c>
      <c r="F67" s="62">
        <v>100</v>
      </c>
      <c r="G67" s="61">
        <v>1500</v>
      </c>
      <c r="H67" s="136">
        <f>SUM(B67:G67)</f>
        <v>7550.6</v>
      </c>
      <c r="I67" s="63"/>
      <c r="J67" s="64"/>
      <c r="K67" s="64"/>
      <c r="L67" s="63"/>
      <c r="M67" s="55"/>
    </row>
    <row r="68" spans="1:15" ht="15.75">
      <c r="A68" s="7"/>
      <c r="B68" s="57"/>
      <c r="C68" s="56"/>
      <c r="D68" s="56"/>
      <c r="E68" s="56"/>
      <c r="F68" s="56"/>
      <c r="G68" s="56"/>
      <c r="H68" s="56"/>
      <c r="I68" s="57"/>
      <c r="J68" s="54"/>
      <c r="K68" s="57"/>
      <c r="L68" s="56"/>
      <c r="M68" s="56"/>
      <c r="N68" s="57"/>
      <c r="O68" s="55"/>
    </row>
    <row r="69" spans="1:15" ht="15.75">
      <c r="A69" s="21" t="s">
        <v>30</v>
      </c>
      <c r="B69" s="57"/>
      <c r="C69" s="56"/>
      <c r="D69" s="56"/>
      <c r="E69" s="56"/>
      <c r="F69" s="56"/>
      <c r="G69" s="56"/>
      <c r="H69" s="56"/>
      <c r="I69" s="57"/>
      <c r="J69" s="54"/>
      <c r="K69" s="57"/>
      <c r="L69" s="56"/>
      <c r="M69" s="56"/>
      <c r="N69" s="57"/>
      <c r="O69" s="55"/>
    </row>
    <row r="70" spans="1:15" ht="15.75">
      <c r="A70" t="s">
        <v>297</v>
      </c>
      <c r="B70" s="57"/>
      <c r="C70" s="56"/>
      <c r="D70" s="56"/>
      <c r="E70" s="56"/>
      <c r="F70" s="56"/>
      <c r="G70" s="56"/>
      <c r="H70" s="56"/>
      <c r="I70" s="57"/>
      <c r="J70" s="54"/>
      <c r="K70" s="57"/>
      <c r="L70" s="56"/>
      <c r="M70" s="182"/>
      <c r="N70" s="57"/>
      <c r="O70" s="55"/>
    </row>
    <row r="71" spans="1:15" ht="15.75">
      <c r="B71" s="57"/>
      <c r="C71" s="56"/>
      <c r="D71" s="56"/>
      <c r="E71" s="56"/>
      <c r="F71" s="56"/>
      <c r="G71" s="56"/>
      <c r="H71" s="56"/>
      <c r="I71" s="57"/>
      <c r="J71" s="54"/>
      <c r="K71" s="57"/>
      <c r="L71" s="56"/>
      <c r="M71" s="56"/>
      <c r="N71" s="57"/>
      <c r="O71" s="55"/>
    </row>
    <row r="72" spans="1:15" ht="15.75">
      <c r="B72" s="57"/>
      <c r="C72" s="56"/>
      <c r="D72" s="56"/>
      <c r="E72" s="56"/>
      <c r="F72" s="56"/>
      <c r="G72" s="56"/>
      <c r="H72" s="56"/>
      <c r="I72" s="57"/>
      <c r="J72" s="54"/>
      <c r="K72" s="57"/>
      <c r="L72" s="56"/>
      <c r="M72" s="56"/>
      <c r="N72" s="57"/>
      <c r="O72" s="55"/>
    </row>
    <row r="73" spans="1:15" ht="15.75">
      <c r="B73" s="57"/>
      <c r="C73" s="56"/>
      <c r="D73" s="56"/>
      <c r="E73" s="56"/>
      <c r="F73" s="56"/>
      <c r="G73" s="56"/>
      <c r="H73" s="56"/>
      <c r="I73" s="57"/>
      <c r="J73" s="54"/>
      <c r="K73" s="57"/>
      <c r="L73" s="56"/>
      <c r="M73" s="56"/>
      <c r="N73" s="57"/>
      <c r="O73" s="55"/>
    </row>
    <row r="74" spans="1:15" ht="15.75">
      <c r="A74" s="7"/>
      <c r="B74" s="57"/>
      <c r="C74" s="56"/>
      <c r="D74" s="56"/>
      <c r="E74" s="56"/>
      <c r="F74" s="56"/>
      <c r="G74" s="56"/>
      <c r="H74" s="56"/>
      <c r="I74" s="57"/>
      <c r="J74" s="54"/>
      <c r="K74" s="57"/>
      <c r="L74" s="56"/>
      <c r="M74" s="56"/>
      <c r="N74" s="57"/>
      <c r="O74" s="55"/>
    </row>
    <row r="75" spans="1:15" ht="15.75">
      <c r="A75" s="7"/>
      <c r="B75" s="57"/>
      <c r="C75" s="56"/>
      <c r="D75" s="56"/>
      <c r="E75" s="56"/>
      <c r="F75" s="56"/>
      <c r="G75" s="56"/>
      <c r="H75" s="56"/>
      <c r="I75" s="57"/>
      <c r="J75" s="54"/>
      <c r="K75" s="57"/>
      <c r="L75" s="56"/>
      <c r="M75" s="56"/>
      <c r="N75" s="57"/>
      <c r="O75" s="55"/>
    </row>
    <row r="76" spans="1:15" ht="15.75">
      <c r="A76" s="7"/>
      <c r="B76" s="57"/>
      <c r="C76" s="56"/>
      <c r="D76" s="56"/>
      <c r="E76" s="56"/>
      <c r="F76" s="56"/>
      <c r="G76" s="56"/>
      <c r="H76" s="56"/>
      <c r="I76" s="57"/>
      <c r="J76" s="54"/>
      <c r="K76" s="57"/>
      <c r="L76" s="56"/>
      <c r="M76" s="56"/>
      <c r="N76" s="57"/>
      <c r="O76" s="55"/>
    </row>
    <row r="77" spans="1:15" ht="15.75">
      <c r="A77" s="7"/>
      <c r="B77" s="57"/>
      <c r="C77" s="56"/>
      <c r="D77" s="56"/>
      <c r="E77" s="56"/>
      <c r="F77" s="56"/>
      <c r="G77" s="56"/>
      <c r="H77" s="56"/>
      <c r="I77" s="57"/>
      <c r="J77" s="54"/>
      <c r="K77" s="57"/>
      <c r="L77" s="56"/>
      <c r="M77" s="56"/>
      <c r="N77" s="57"/>
      <c r="O77" s="55"/>
    </row>
    <row r="78" spans="1:15" ht="15.75">
      <c r="A78" s="7"/>
      <c r="B78" s="57"/>
      <c r="C78" s="56"/>
      <c r="D78" s="56"/>
      <c r="E78" s="56"/>
      <c r="F78" s="56"/>
      <c r="G78" s="56"/>
      <c r="H78" s="56"/>
      <c r="I78" s="57"/>
      <c r="J78" s="54"/>
      <c r="K78" s="57"/>
      <c r="L78" s="56"/>
      <c r="M78" s="56"/>
      <c r="N78" s="57"/>
      <c r="O78" s="55"/>
    </row>
    <row r="80" spans="1:15" ht="20.25">
      <c r="A80" s="203" t="s">
        <v>260</v>
      </c>
      <c r="B80" s="203"/>
      <c r="C80" s="203"/>
      <c r="D80" s="203"/>
      <c r="E80" s="203"/>
      <c r="F80" s="203"/>
      <c r="G80" s="203"/>
      <c r="H80" s="203"/>
      <c r="I80" s="203"/>
      <c r="J80" s="203"/>
      <c r="K80" s="93"/>
      <c r="L80" s="93"/>
      <c r="M80" s="93"/>
      <c r="N80" s="93"/>
      <c r="O80" s="93"/>
    </row>
    <row r="81" spans="1:15" ht="20.25">
      <c r="A81" s="217" t="s">
        <v>77</v>
      </c>
      <c r="B81" s="217"/>
      <c r="C81" s="217"/>
      <c r="D81" s="217"/>
      <c r="E81" s="217"/>
      <c r="F81" s="217"/>
      <c r="G81" s="217"/>
      <c r="H81" s="217"/>
      <c r="I81" s="217"/>
      <c r="J81" s="217"/>
      <c r="K81" s="94"/>
      <c r="L81" s="94"/>
      <c r="M81" s="94"/>
      <c r="N81" s="94"/>
      <c r="O81" s="94"/>
    </row>
    <row r="82" spans="1:15" ht="18.75">
      <c r="A82" s="40"/>
      <c r="B82" s="212" t="s">
        <v>56</v>
      </c>
      <c r="C82" s="213"/>
      <c r="D82" s="213"/>
      <c r="E82" s="213"/>
      <c r="F82" s="213"/>
      <c r="G82" s="213"/>
      <c r="H82" s="213"/>
      <c r="I82" s="213"/>
      <c r="J82" s="214"/>
    </row>
    <row r="83" spans="1:15" ht="42.75">
      <c r="A83" s="41" t="s">
        <v>1</v>
      </c>
      <c r="B83" s="42" t="s">
        <v>2</v>
      </c>
      <c r="C83" s="43" t="s">
        <v>3</v>
      </c>
      <c r="D83" s="44" t="s">
        <v>57</v>
      </c>
      <c r="E83" s="3" t="s">
        <v>201</v>
      </c>
      <c r="F83" s="3" t="s">
        <v>274</v>
      </c>
      <c r="G83" s="45" t="s">
        <v>58</v>
      </c>
      <c r="H83" s="43" t="s">
        <v>6</v>
      </c>
    </row>
    <row r="84" spans="1:15" ht="15.75">
      <c r="A84" s="40"/>
      <c r="B84" s="65" t="s">
        <v>32</v>
      </c>
      <c r="C84" s="65" t="s">
        <v>32</v>
      </c>
      <c r="D84" s="65" t="s">
        <v>32</v>
      </c>
      <c r="E84" s="65" t="s">
        <v>32</v>
      </c>
      <c r="F84" s="65" t="s">
        <v>32</v>
      </c>
      <c r="G84" s="65" t="s">
        <v>32</v>
      </c>
      <c r="H84" s="65" t="s">
        <v>32</v>
      </c>
    </row>
    <row r="85" spans="1:15" ht="15.75">
      <c r="A85" s="51" t="s">
        <v>60</v>
      </c>
      <c r="B85" s="137">
        <f>1571.07+16</f>
        <v>1587.07</v>
      </c>
      <c r="C85" s="62">
        <v>9</v>
      </c>
      <c r="D85" s="62">
        <v>2</v>
      </c>
      <c r="E85" s="62">
        <v>16</v>
      </c>
      <c r="F85" s="62">
        <v>15</v>
      </c>
      <c r="G85" s="61">
        <v>165</v>
      </c>
      <c r="H85" s="136">
        <f>SUM(B85:G85)</f>
        <v>1794.07</v>
      </c>
    </row>
    <row r="86" spans="1:15" ht="15.75">
      <c r="A86" s="51" t="s">
        <v>61</v>
      </c>
      <c r="B86" s="137">
        <f>3351.07+16</f>
        <v>3367.07</v>
      </c>
      <c r="C86" s="62">
        <v>9</v>
      </c>
      <c r="D86" s="62">
        <v>2</v>
      </c>
      <c r="E86" s="62">
        <v>16</v>
      </c>
      <c r="F86" s="62">
        <v>15</v>
      </c>
      <c r="G86" s="61">
        <v>165</v>
      </c>
      <c r="H86" s="136">
        <f>SUM(B86:G86)</f>
        <v>3574.07</v>
      </c>
    </row>
    <row r="87" spans="1:15" ht="15.75">
      <c r="A87" s="7"/>
      <c r="B87" s="57"/>
      <c r="C87" s="56"/>
      <c r="D87" s="56"/>
      <c r="E87" s="56"/>
      <c r="F87" s="56"/>
      <c r="G87" s="56"/>
      <c r="H87" s="56"/>
      <c r="I87" s="57"/>
      <c r="J87" s="54"/>
      <c r="K87" s="57"/>
      <c r="L87" s="56"/>
      <c r="M87" s="56"/>
      <c r="N87" s="57"/>
      <c r="O87" s="55"/>
    </row>
    <row r="88" spans="1:15" ht="15.75">
      <c r="A88" s="32" t="s">
        <v>30</v>
      </c>
      <c r="B88" s="57"/>
      <c r="C88" s="56"/>
      <c r="D88" s="56"/>
      <c r="E88" s="56"/>
      <c r="F88" s="56"/>
      <c r="G88" s="56"/>
      <c r="H88" s="56"/>
      <c r="I88" s="57"/>
      <c r="J88" s="54"/>
      <c r="L88" s="56"/>
      <c r="M88" s="56"/>
      <c r="N88" s="57"/>
      <c r="O88" s="55"/>
    </row>
    <row r="89" spans="1:15" ht="15.75">
      <c r="A89" t="s">
        <v>270</v>
      </c>
      <c r="B89" s="57"/>
      <c r="C89" s="56"/>
      <c r="D89" s="56"/>
      <c r="E89" s="56"/>
      <c r="F89" s="56"/>
      <c r="G89" s="56"/>
      <c r="H89" s="56"/>
      <c r="I89" s="57"/>
      <c r="J89" s="54"/>
      <c r="K89" s="57"/>
      <c r="L89" s="56"/>
      <c r="M89" s="56"/>
      <c r="N89" s="57"/>
      <c r="O89" s="55"/>
    </row>
    <row r="90" spans="1:15" ht="15.75">
      <c r="B90" s="57"/>
      <c r="C90" s="56"/>
      <c r="D90" s="56"/>
      <c r="E90" s="56"/>
      <c r="F90" s="56"/>
      <c r="G90" s="56"/>
      <c r="H90" s="56"/>
      <c r="I90" s="57"/>
      <c r="J90" s="54"/>
      <c r="K90" s="57"/>
      <c r="L90" s="56"/>
      <c r="M90" s="56"/>
      <c r="N90" s="57"/>
      <c r="O90" s="55"/>
    </row>
    <row r="91" spans="1:15" ht="15.75">
      <c r="B91" s="57"/>
      <c r="C91" s="56"/>
      <c r="D91" s="56"/>
      <c r="E91" s="56"/>
      <c r="F91" s="56"/>
      <c r="G91" s="56"/>
      <c r="H91" s="56"/>
      <c r="I91" s="57"/>
      <c r="J91" s="54"/>
      <c r="K91" s="57"/>
      <c r="L91" s="56"/>
      <c r="M91" s="56"/>
      <c r="N91" s="57"/>
      <c r="O91" s="55"/>
    </row>
    <row r="92" spans="1:15" ht="15.75">
      <c r="B92" s="57"/>
      <c r="C92" s="56"/>
      <c r="D92" s="56"/>
      <c r="E92" s="56"/>
      <c r="F92" s="56"/>
      <c r="G92" s="56"/>
      <c r="H92" s="56"/>
      <c r="I92" s="57"/>
      <c r="J92" s="54"/>
      <c r="K92" s="57"/>
      <c r="L92" s="56"/>
      <c r="M92" s="56"/>
      <c r="N92" s="57"/>
      <c r="O92" s="55"/>
    </row>
    <row r="93" spans="1:15" ht="20.25">
      <c r="A93" s="203" t="s">
        <v>260</v>
      </c>
      <c r="B93" s="203"/>
      <c r="C93" s="203"/>
      <c r="D93" s="203"/>
      <c r="E93" s="203"/>
      <c r="F93" s="203"/>
      <c r="G93" s="203"/>
      <c r="H93" s="203"/>
      <c r="I93" s="203"/>
      <c r="J93" s="203"/>
      <c r="K93" s="93"/>
      <c r="L93" s="93"/>
      <c r="M93" s="93"/>
      <c r="N93" s="93"/>
      <c r="O93" s="93"/>
    </row>
    <row r="94" spans="1:15" ht="20.25">
      <c r="A94" s="217" t="s">
        <v>271</v>
      </c>
      <c r="B94" s="217"/>
      <c r="C94" s="217"/>
      <c r="D94" s="217"/>
      <c r="E94" s="217"/>
      <c r="F94" s="217"/>
      <c r="G94" s="217"/>
      <c r="H94" s="217"/>
      <c r="I94" s="217"/>
      <c r="J94" s="217"/>
      <c r="K94" s="94"/>
      <c r="L94" s="94"/>
      <c r="M94" s="94"/>
      <c r="N94" s="94"/>
      <c r="O94" s="94"/>
    </row>
    <row r="95" spans="1:15" ht="18.75">
      <c r="A95" s="40"/>
      <c r="B95" s="212" t="s">
        <v>56</v>
      </c>
      <c r="C95" s="213"/>
      <c r="D95" s="213"/>
      <c r="E95" s="213"/>
      <c r="F95" s="213"/>
      <c r="G95" s="213"/>
      <c r="H95" s="213"/>
      <c r="I95" s="213"/>
      <c r="J95" s="214"/>
    </row>
    <row r="96" spans="1:15" ht="42.75">
      <c r="A96" s="41" t="s">
        <v>1</v>
      </c>
      <c r="B96" s="42" t="s">
        <v>2</v>
      </c>
      <c r="C96" s="43" t="s">
        <v>3</v>
      </c>
      <c r="D96" s="44" t="s">
        <v>57</v>
      </c>
      <c r="E96" s="3" t="s">
        <v>201</v>
      </c>
      <c r="F96" s="3" t="s">
        <v>274</v>
      </c>
      <c r="G96" s="45" t="s">
        <v>58</v>
      </c>
      <c r="H96" s="43" t="s">
        <v>6</v>
      </c>
    </row>
    <row r="97" spans="1:15" ht="15.75">
      <c r="A97" s="40"/>
      <c r="B97" s="65" t="s">
        <v>32</v>
      </c>
      <c r="C97" s="65" t="s">
        <v>32</v>
      </c>
      <c r="D97" s="65" t="s">
        <v>32</v>
      </c>
      <c r="E97" s="65" t="s">
        <v>32</v>
      </c>
      <c r="F97" s="65" t="s">
        <v>32</v>
      </c>
      <c r="G97" s="65" t="s">
        <v>32</v>
      </c>
      <c r="H97" s="65" t="s">
        <v>32</v>
      </c>
    </row>
    <row r="98" spans="1:15" ht="15.75">
      <c r="A98" s="51" t="s">
        <v>59</v>
      </c>
      <c r="B98" s="137">
        <f>1851.07+16</f>
        <v>1867.07</v>
      </c>
      <c r="C98" s="62">
        <v>9</v>
      </c>
      <c r="D98" s="62">
        <v>2</v>
      </c>
      <c r="E98" s="62">
        <v>16</v>
      </c>
      <c r="F98" s="62">
        <v>15</v>
      </c>
      <c r="G98" s="61">
        <v>165</v>
      </c>
      <c r="H98" s="136">
        <f>SUM(B98:G98)</f>
        <v>2074.0699999999997</v>
      </c>
    </row>
    <row r="99" spans="1:15" ht="15.75">
      <c r="B99" s="57"/>
      <c r="C99" s="56"/>
      <c r="D99" s="56"/>
      <c r="E99" s="56"/>
      <c r="F99" s="56"/>
      <c r="G99" s="56"/>
      <c r="H99" s="56"/>
      <c r="I99" s="57"/>
      <c r="J99" s="54"/>
      <c r="K99" s="57"/>
      <c r="L99" s="56"/>
      <c r="M99" s="56"/>
      <c r="N99" s="57"/>
      <c r="O99" s="55"/>
    </row>
    <row r="100" spans="1:15" ht="15.75">
      <c r="A100" s="32" t="s">
        <v>30</v>
      </c>
      <c r="B100" s="57"/>
      <c r="C100" s="56"/>
      <c r="D100" s="56"/>
      <c r="E100" s="56"/>
      <c r="F100" s="56"/>
      <c r="G100" s="56"/>
      <c r="H100" s="56"/>
      <c r="I100" s="57"/>
      <c r="J100" s="54"/>
      <c r="K100" s="57"/>
      <c r="L100" s="56"/>
      <c r="M100" s="56"/>
      <c r="N100" s="57"/>
      <c r="O100" s="55"/>
    </row>
    <row r="101" spans="1:15" ht="15.75">
      <c r="A101" t="s">
        <v>194</v>
      </c>
      <c r="B101" s="57"/>
      <c r="C101" s="56"/>
      <c r="D101" s="56"/>
      <c r="E101" s="56"/>
      <c r="F101" s="56"/>
      <c r="G101" s="56"/>
      <c r="H101" s="56"/>
      <c r="I101" s="178"/>
      <c r="J101" s="54"/>
      <c r="K101" s="57"/>
      <c r="L101" s="56"/>
      <c r="M101" s="56"/>
      <c r="N101" s="57"/>
      <c r="O101" s="55"/>
    </row>
    <row r="104" spans="1:15" ht="15.75">
      <c r="A104" s="7"/>
      <c r="B104" s="57"/>
      <c r="C104" s="56"/>
      <c r="D104" s="56"/>
      <c r="E104" s="56"/>
      <c r="F104" s="56"/>
      <c r="G104" s="56"/>
      <c r="H104" s="56"/>
      <c r="I104" s="57"/>
      <c r="J104" s="54"/>
      <c r="K104" s="57"/>
      <c r="L104" s="56"/>
      <c r="M104" s="56"/>
      <c r="N104" s="57"/>
      <c r="O104" s="55"/>
    </row>
    <row r="105" spans="1:15" ht="15.75">
      <c r="A105" s="7"/>
      <c r="B105" s="57"/>
      <c r="C105" s="56"/>
      <c r="D105" s="56"/>
      <c r="E105" s="56"/>
      <c r="F105" s="56"/>
      <c r="G105" s="56"/>
      <c r="H105" s="56"/>
      <c r="I105" s="57"/>
      <c r="J105" s="54"/>
      <c r="K105" s="57"/>
      <c r="L105" s="56"/>
      <c r="M105" s="56"/>
      <c r="N105" s="57"/>
      <c r="O105" s="55"/>
    </row>
    <row r="106" spans="1:15" ht="20.25">
      <c r="A106" s="203" t="s">
        <v>260</v>
      </c>
      <c r="B106" s="203"/>
      <c r="C106" s="203"/>
      <c r="D106" s="203"/>
      <c r="E106" s="203"/>
      <c r="F106" s="203"/>
      <c r="G106" s="203"/>
      <c r="H106" s="203"/>
      <c r="I106" s="203"/>
      <c r="J106" s="203"/>
      <c r="K106" s="93"/>
      <c r="L106" s="93"/>
      <c r="M106" s="93"/>
      <c r="N106" s="93"/>
      <c r="O106" s="93"/>
    </row>
    <row r="107" spans="1:15" ht="20.25">
      <c r="A107" s="217" t="s">
        <v>78</v>
      </c>
      <c r="B107" s="217"/>
      <c r="C107" s="217"/>
      <c r="D107" s="217"/>
      <c r="E107" s="217"/>
      <c r="F107" s="217"/>
      <c r="G107" s="217"/>
      <c r="H107" s="217"/>
      <c r="I107" s="217"/>
      <c r="J107" s="217"/>
      <c r="K107" s="94"/>
      <c r="L107" s="94"/>
      <c r="M107" s="94"/>
      <c r="N107" s="94"/>
      <c r="O107" s="94"/>
    </row>
    <row r="108" spans="1:15" ht="18.75">
      <c r="A108" s="40"/>
      <c r="B108" s="212" t="s">
        <v>56</v>
      </c>
      <c r="C108" s="213"/>
      <c r="D108" s="213"/>
      <c r="E108" s="213"/>
      <c r="F108" s="213"/>
      <c r="G108" s="213"/>
      <c r="H108" s="213"/>
      <c r="I108" s="213"/>
      <c r="J108" s="213"/>
    </row>
    <row r="109" spans="1:15" ht="42.75">
      <c r="A109" s="41" t="s">
        <v>1</v>
      </c>
      <c r="B109" s="66" t="s">
        <v>2</v>
      </c>
      <c r="C109" s="67" t="s">
        <v>3</v>
      </c>
      <c r="D109" s="68" t="s">
        <v>57</v>
      </c>
      <c r="E109" s="3" t="s">
        <v>201</v>
      </c>
      <c r="F109" s="3" t="s">
        <v>274</v>
      </c>
      <c r="G109" s="45" t="s">
        <v>58</v>
      </c>
      <c r="H109" s="43" t="s">
        <v>6</v>
      </c>
    </row>
    <row r="110" spans="1:15" ht="15.75">
      <c r="A110" s="40"/>
      <c r="B110" s="65" t="s">
        <v>32</v>
      </c>
      <c r="C110" s="65" t="s">
        <v>32</v>
      </c>
      <c r="D110" s="65" t="s">
        <v>32</v>
      </c>
      <c r="E110" s="65" t="s">
        <v>32</v>
      </c>
      <c r="F110" s="65" t="s">
        <v>32</v>
      </c>
      <c r="G110" s="65" t="s">
        <v>32</v>
      </c>
      <c r="H110" s="65" t="s">
        <v>32</v>
      </c>
    </row>
    <row r="111" spans="1:15" ht="15.75">
      <c r="A111" s="51" t="s">
        <v>63</v>
      </c>
      <c r="B111" s="137">
        <f>2511.62+16</f>
        <v>2527.62</v>
      </c>
      <c r="C111" s="62">
        <v>9</v>
      </c>
      <c r="D111" s="62">
        <v>2</v>
      </c>
      <c r="E111" s="62">
        <v>16</v>
      </c>
      <c r="F111" s="62">
        <v>15</v>
      </c>
      <c r="G111" s="61">
        <v>153</v>
      </c>
      <c r="H111" s="136">
        <f t="shared" ref="H111:H117" si="2">SUM(B111:G111)</f>
        <v>2722.62</v>
      </c>
    </row>
    <row r="112" spans="1:15" ht="15.75">
      <c r="A112" s="51" t="s">
        <v>64</v>
      </c>
      <c r="B112" s="137">
        <f>2511.62+16</f>
        <v>2527.62</v>
      </c>
      <c r="C112" s="62">
        <v>9</v>
      </c>
      <c r="D112" s="62">
        <v>2</v>
      </c>
      <c r="E112" s="62">
        <v>16</v>
      </c>
      <c r="F112" s="62">
        <v>15</v>
      </c>
      <c r="G112" s="61">
        <v>153</v>
      </c>
      <c r="H112" s="136">
        <f t="shared" si="2"/>
        <v>2722.62</v>
      </c>
    </row>
    <row r="113" spans="1:15" ht="15.75">
      <c r="A113" s="51" t="s">
        <v>65</v>
      </c>
      <c r="B113" s="137">
        <f>2257.62+16</f>
        <v>2273.62</v>
      </c>
      <c r="C113" s="62">
        <v>9</v>
      </c>
      <c r="D113" s="62">
        <v>2</v>
      </c>
      <c r="E113" s="62">
        <v>16</v>
      </c>
      <c r="F113" s="62">
        <v>15</v>
      </c>
      <c r="G113" s="61">
        <v>153</v>
      </c>
      <c r="H113" s="136">
        <f t="shared" si="2"/>
        <v>2468.62</v>
      </c>
    </row>
    <row r="114" spans="1:15" ht="15.75">
      <c r="A114" s="51" t="s">
        <v>66</v>
      </c>
      <c r="B114" s="135">
        <f>2511.62+16</f>
        <v>2527.62</v>
      </c>
      <c r="C114" s="62">
        <v>9</v>
      </c>
      <c r="D114" s="62">
        <v>2</v>
      </c>
      <c r="E114" s="62">
        <v>16</v>
      </c>
      <c r="F114" s="62">
        <v>15</v>
      </c>
      <c r="G114" s="61">
        <v>153</v>
      </c>
      <c r="H114" s="136">
        <f t="shared" si="2"/>
        <v>2722.62</v>
      </c>
    </row>
    <row r="115" spans="1:15" ht="15.75">
      <c r="A115" s="51" t="s">
        <v>67</v>
      </c>
      <c r="B115" s="135">
        <f>2257.62+16</f>
        <v>2273.62</v>
      </c>
      <c r="C115" s="62">
        <v>9</v>
      </c>
      <c r="D115" s="62">
        <v>2</v>
      </c>
      <c r="E115" s="62">
        <v>16</v>
      </c>
      <c r="F115" s="62">
        <v>15</v>
      </c>
      <c r="G115" s="61">
        <v>153</v>
      </c>
      <c r="H115" s="136">
        <f t="shared" si="2"/>
        <v>2468.62</v>
      </c>
    </row>
    <row r="116" spans="1:15" ht="15.75">
      <c r="A116" s="51" t="s">
        <v>68</v>
      </c>
      <c r="B116" s="135">
        <f>2257.62+16</f>
        <v>2273.62</v>
      </c>
      <c r="C116" s="62">
        <v>9</v>
      </c>
      <c r="D116" s="62">
        <v>2</v>
      </c>
      <c r="E116" s="62">
        <v>16</v>
      </c>
      <c r="F116" s="62">
        <v>15</v>
      </c>
      <c r="G116" s="61">
        <v>153</v>
      </c>
      <c r="H116" s="136">
        <f t="shared" si="2"/>
        <v>2468.62</v>
      </c>
    </row>
    <row r="117" spans="1:15" ht="15.75">
      <c r="A117" s="51" t="s">
        <v>69</v>
      </c>
      <c r="B117" s="135">
        <f>2257.62+16</f>
        <v>2273.62</v>
      </c>
      <c r="C117" s="62">
        <v>9</v>
      </c>
      <c r="D117" s="62">
        <v>2</v>
      </c>
      <c r="E117" s="62">
        <v>16</v>
      </c>
      <c r="F117" s="62">
        <v>15</v>
      </c>
      <c r="G117" s="61">
        <v>153</v>
      </c>
      <c r="H117" s="136">
        <f t="shared" si="2"/>
        <v>2468.62</v>
      </c>
    </row>
    <row r="118" spans="1:15" ht="15.75">
      <c r="A118" s="7"/>
      <c r="B118" s="63"/>
      <c r="C118" s="64"/>
      <c r="D118" s="64"/>
      <c r="E118" s="64"/>
      <c r="F118" s="64"/>
      <c r="G118" s="64"/>
      <c r="H118" s="64"/>
      <c r="I118" s="63"/>
      <c r="J118" s="54"/>
      <c r="K118" s="63"/>
      <c r="L118" s="64"/>
      <c r="M118" s="64"/>
      <c r="N118" s="63"/>
      <c r="O118" s="55"/>
    </row>
    <row r="119" spans="1:15" ht="15.75">
      <c r="A119" s="7"/>
      <c r="B119" s="57"/>
      <c r="C119" s="56"/>
      <c r="D119" s="56"/>
      <c r="E119" s="56"/>
      <c r="F119" s="56"/>
      <c r="G119" s="56"/>
      <c r="H119" s="56"/>
      <c r="I119" s="57"/>
      <c r="J119" s="54"/>
      <c r="K119" s="57"/>
      <c r="L119" s="56"/>
      <c r="M119" s="56"/>
      <c r="N119" s="57"/>
      <c r="O119" s="55"/>
    </row>
    <row r="120" spans="1:15" ht="15.75">
      <c r="A120" s="32" t="s">
        <v>30</v>
      </c>
      <c r="B120" s="57"/>
      <c r="C120" s="56"/>
      <c r="D120" s="56"/>
      <c r="E120" s="56"/>
      <c r="F120" s="56"/>
      <c r="G120" s="56"/>
      <c r="H120" s="56"/>
      <c r="I120" s="57"/>
      <c r="J120" s="54"/>
      <c r="K120" s="57"/>
      <c r="L120" s="56"/>
      <c r="M120" s="56"/>
      <c r="N120" s="57"/>
      <c r="O120" s="55"/>
    </row>
    <row r="121" spans="1:15" ht="15.75">
      <c r="A121" t="s">
        <v>195</v>
      </c>
      <c r="B121" s="57"/>
      <c r="C121" s="56"/>
      <c r="D121" s="56"/>
      <c r="E121" s="56"/>
      <c r="F121" s="56"/>
      <c r="G121" s="56"/>
      <c r="H121" s="56"/>
      <c r="I121" s="57"/>
      <c r="J121" s="54"/>
      <c r="K121" s="57"/>
      <c r="L121" s="56"/>
      <c r="M121" s="56"/>
      <c r="N121" s="57"/>
      <c r="O121" s="55"/>
    </row>
    <row r="122" spans="1:15" ht="15.75">
      <c r="A122" s="7"/>
      <c r="B122" s="57"/>
      <c r="C122" s="56"/>
      <c r="D122" s="56"/>
      <c r="E122" s="56"/>
      <c r="F122" s="56"/>
      <c r="G122" s="56"/>
      <c r="H122" s="56"/>
      <c r="I122" s="57"/>
      <c r="J122" s="54"/>
      <c r="K122" s="57"/>
      <c r="L122" s="56"/>
      <c r="M122" s="56"/>
      <c r="N122" s="57"/>
      <c r="O122" s="55"/>
    </row>
    <row r="123" spans="1:15" ht="15.75">
      <c r="A123" s="7"/>
      <c r="B123" s="57"/>
      <c r="C123" s="56"/>
      <c r="D123" s="56"/>
      <c r="E123" s="56"/>
      <c r="F123" s="56"/>
      <c r="G123" s="56"/>
      <c r="H123" s="56"/>
      <c r="I123" s="57"/>
      <c r="J123" s="54"/>
      <c r="K123" s="57"/>
      <c r="L123" s="56"/>
      <c r="M123" s="56"/>
      <c r="N123" s="57"/>
      <c r="O123" s="55"/>
    </row>
    <row r="124" spans="1:15" ht="15.75">
      <c r="A124" s="7"/>
      <c r="B124" s="57"/>
      <c r="C124" s="56"/>
      <c r="D124" s="56"/>
      <c r="E124" s="56"/>
      <c r="F124" s="56"/>
      <c r="G124" s="56"/>
      <c r="H124" s="56"/>
      <c r="I124" s="57"/>
      <c r="J124" s="54"/>
      <c r="K124" s="57"/>
      <c r="L124" s="56"/>
      <c r="M124" s="56"/>
      <c r="N124" s="57"/>
      <c r="O124" s="55"/>
    </row>
    <row r="126" spans="1:15" ht="20.25">
      <c r="A126" s="205" t="s">
        <v>263</v>
      </c>
      <c r="B126" s="205"/>
      <c r="C126" s="205"/>
      <c r="D126" s="205"/>
      <c r="E126" s="205"/>
      <c r="F126" s="205"/>
      <c r="G126" s="205"/>
      <c r="H126" s="205"/>
      <c r="I126" s="205"/>
      <c r="J126" s="205"/>
      <c r="K126" s="93"/>
      <c r="L126" s="93"/>
      <c r="M126" s="93"/>
      <c r="N126" s="93"/>
      <c r="O126" s="93"/>
    </row>
    <row r="127" spans="1:15" ht="20.25">
      <c r="A127" s="215" t="s">
        <v>79</v>
      </c>
      <c r="B127" s="215"/>
      <c r="C127" s="215"/>
      <c r="D127" s="215"/>
      <c r="E127" s="215"/>
      <c r="F127" s="215"/>
      <c r="G127" s="215"/>
      <c r="H127" s="215"/>
      <c r="I127" s="215"/>
      <c r="J127" s="215"/>
      <c r="K127" s="94"/>
      <c r="L127" s="94"/>
      <c r="M127" s="94"/>
      <c r="N127" s="94"/>
      <c r="O127" s="94"/>
    </row>
    <row r="128" spans="1:15" ht="18.75">
      <c r="A128" s="40"/>
      <c r="B128" s="212" t="s">
        <v>56</v>
      </c>
      <c r="C128" s="213"/>
      <c r="D128" s="213"/>
      <c r="E128" s="213"/>
      <c r="F128" s="213"/>
      <c r="G128" s="213"/>
      <c r="H128" s="213"/>
      <c r="I128" s="213"/>
      <c r="J128" s="214"/>
    </row>
    <row r="129" spans="1:15" ht="42.75">
      <c r="A129" s="41" t="s">
        <v>1</v>
      </c>
      <c r="B129" s="66" t="s">
        <v>2</v>
      </c>
      <c r="C129" s="67" t="s">
        <v>3</v>
      </c>
      <c r="D129" s="68" t="s">
        <v>57</v>
      </c>
      <c r="E129" s="3" t="s">
        <v>201</v>
      </c>
      <c r="F129" s="3" t="s">
        <v>274</v>
      </c>
      <c r="G129" s="45" t="s">
        <v>58</v>
      </c>
      <c r="H129" s="43" t="s">
        <v>6</v>
      </c>
    </row>
    <row r="130" spans="1:15" ht="15.75">
      <c r="A130" s="40"/>
      <c r="B130" s="6" t="s">
        <v>32</v>
      </c>
      <c r="C130" s="6" t="s">
        <v>32</v>
      </c>
      <c r="D130" s="6" t="s">
        <v>32</v>
      </c>
      <c r="E130" s="65" t="s">
        <v>32</v>
      </c>
      <c r="F130" s="65" t="s">
        <v>32</v>
      </c>
      <c r="G130" s="6" t="s">
        <v>32</v>
      </c>
      <c r="H130" s="65" t="s">
        <v>32</v>
      </c>
    </row>
    <row r="131" spans="1:15" ht="15.75">
      <c r="A131" s="51" t="s">
        <v>71</v>
      </c>
      <c r="B131" s="135">
        <f>2587.62+16</f>
        <v>2603.62</v>
      </c>
      <c r="C131" s="62">
        <v>9</v>
      </c>
      <c r="D131" s="62">
        <v>2</v>
      </c>
      <c r="E131" s="48">
        <v>16</v>
      </c>
      <c r="F131" s="48">
        <v>15</v>
      </c>
      <c r="G131" s="47">
        <v>153</v>
      </c>
      <c r="H131" s="136">
        <f>SUM(B131:G131)</f>
        <v>2798.62</v>
      </c>
    </row>
    <row r="132" spans="1:15" ht="15.75">
      <c r="A132" s="51" t="s">
        <v>72</v>
      </c>
      <c r="B132" s="135">
        <f>2587.62+16</f>
        <v>2603.62</v>
      </c>
      <c r="C132" s="62">
        <v>9</v>
      </c>
      <c r="D132" s="62">
        <v>2</v>
      </c>
      <c r="E132" s="48">
        <v>16</v>
      </c>
      <c r="F132" s="48">
        <v>15</v>
      </c>
      <c r="G132" s="47">
        <v>153</v>
      </c>
      <c r="H132" s="136">
        <f>SUM(B132:G132)</f>
        <v>2798.62</v>
      </c>
    </row>
    <row r="133" spans="1:15" ht="15.75">
      <c r="A133" s="51" t="s">
        <v>73</v>
      </c>
      <c r="B133" s="135">
        <f>1524+16</f>
        <v>1540</v>
      </c>
      <c r="C133" s="62">
        <v>9</v>
      </c>
      <c r="D133" s="62">
        <v>2</v>
      </c>
      <c r="E133" s="48">
        <v>16</v>
      </c>
      <c r="F133" s="48">
        <v>15</v>
      </c>
      <c r="G133" s="47">
        <f>'[1]SAS 2016-17'!J35</f>
        <v>0</v>
      </c>
      <c r="H133" s="136">
        <f>SUM(B133:G133)</f>
        <v>1582</v>
      </c>
    </row>
    <row r="134" spans="1:15" ht="15.75">
      <c r="A134" s="51" t="s">
        <v>74</v>
      </c>
      <c r="B134" s="135">
        <f>1524+16</f>
        <v>1540</v>
      </c>
      <c r="C134" s="62">
        <v>9</v>
      </c>
      <c r="D134" s="62">
        <v>2</v>
      </c>
      <c r="E134" s="48">
        <v>16</v>
      </c>
      <c r="F134" s="48">
        <v>15</v>
      </c>
      <c r="G134" s="47">
        <f>'[1]SAS 2016-17'!J36</f>
        <v>0</v>
      </c>
      <c r="H134" s="136">
        <f>SUM(B134:G134)</f>
        <v>1582</v>
      </c>
    </row>
    <row r="137" spans="1:15">
      <c r="A137" s="32" t="s">
        <v>30</v>
      </c>
      <c r="M137" s="49"/>
    </row>
    <row r="138" spans="1:15">
      <c r="A138" t="s">
        <v>195</v>
      </c>
      <c r="M138" s="49"/>
    </row>
    <row r="142" spans="1:15" ht="20.25">
      <c r="A142" s="205" t="s">
        <v>264</v>
      </c>
      <c r="B142" s="205"/>
      <c r="C142" s="205"/>
      <c r="D142" s="205"/>
      <c r="E142" s="205"/>
      <c r="F142" s="205"/>
      <c r="G142" s="205"/>
      <c r="H142" s="205"/>
      <c r="I142" s="205"/>
      <c r="J142" s="205"/>
      <c r="K142" s="93"/>
      <c r="L142" s="93"/>
      <c r="M142" s="93"/>
      <c r="N142" s="93"/>
      <c r="O142" s="93"/>
    </row>
    <row r="143" spans="1:15" ht="20.25">
      <c r="A143" s="216" t="s">
        <v>80</v>
      </c>
      <c r="B143" s="216"/>
      <c r="C143" s="216"/>
      <c r="D143" s="216"/>
      <c r="E143" s="216"/>
      <c r="F143" s="216"/>
      <c r="G143" s="216"/>
      <c r="H143" s="216"/>
      <c r="I143" s="216"/>
      <c r="J143" s="216"/>
      <c r="K143" s="94"/>
      <c r="L143" s="94"/>
      <c r="M143" s="94"/>
      <c r="N143" s="94"/>
      <c r="O143" s="94"/>
    </row>
    <row r="144" spans="1:15" ht="18.75">
      <c r="A144" s="40"/>
      <c r="B144" s="212" t="s">
        <v>56</v>
      </c>
      <c r="C144" s="213"/>
      <c r="D144" s="213"/>
      <c r="E144" s="213"/>
      <c r="F144" s="213"/>
      <c r="G144" s="213"/>
      <c r="H144" s="213"/>
      <c r="I144" s="213"/>
      <c r="J144" s="214"/>
    </row>
    <row r="145" spans="1:8" ht="42.75">
      <c r="A145" s="41" t="s">
        <v>1</v>
      </c>
      <c r="B145" s="66" t="s">
        <v>2</v>
      </c>
      <c r="C145" s="67" t="s">
        <v>3</v>
      </c>
      <c r="D145" s="68" t="s">
        <v>57</v>
      </c>
      <c r="E145" s="3" t="s">
        <v>201</v>
      </c>
      <c r="F145" s="3" t="s">
        <v>274</v>
      </c>
      <c r="G145" s="45" t="s">
        <v>58</v>
      </c>
      <c r="H145" s="43" t="s">
        <v>6</v>
      </c>
    </row>
    <row r="146" spans="1:8" ht="15.75">
      <c r="A146" s="40"/>
      <c r="B146" s="6" t="s">
        <v>32</v>
      </c>
      <c r="C146" s="6" t="s">
        <v>32</v>
      </c>
      <c r="D146" s="6" t="s">
        <v>32</v>
      </c>
      <c r="E146" s="65" t="s">
        <v>32</v>
      </c>
      <c r="F146" s="65" t="s">
        <v>32</v>
      </c>
      <c r="G146" s="6" t="s">
        <v>32</v>
      </c>
      <c r="H146" s="65" t="s">
        <v>32</v>
      </c>
    </row>
    <row r="147" spans="1:8" ht="15.75">
      <c r="A147" s="40" t="s">
        <v>76</v>
      </c>
      <c r="B147" s="127">
        <f>3915+16</f>
        <v>3931</v>
      </c>
      <c r="C147" s="62">
        <v>9</v>
      </c>
      <c r="D147" s="62">
        <v>2</v>
      </c>
      <c r="E147" s="48">
        <v>16</v>
      </c>
      <c r="F147" s="48">
        <v>15</v>
      </c>
      <c r="G147" s="48">
        <v>160</v>
      </c>
      <c r="H147" s="136">
        <f>SUM(B147:G147)</f>
        <v>4133</v>
      </c>
    </row>
    <row r="149" spans="1:8">
      <c r="A149" s="32" t="s">
        <v>30</v>
      </c>
    </row>
    <row r="150" spans="1:8">
      <c r="A150" t="s">
        <v>196</v>
      </c>
    </row>
  </sheetData>
  <mergeCells count="31">
    <mergeCell ref="K64:O64"/>
    <mergeCell ref="B3:J3"/>
    <mergeCell ref="B29:J29"/>
    <mergeCell ref="B47:J47"/>
    <mergeCell ref="A1:J1"/>
    <mergeCell ref="A2:J2"/>
    <mergeCell ref="A27:J27"/>
    <mergeCell ref="A28:J28"/>
    <mergeCell ref="A45:J45"/>
    <mergeCell ref="A46:J46"/>
    <mergeCell ref="A62:J62"/>
    <mergeCell ref="A63:J63"/>
    <mergeCell ref="A15:J15"/>
    <mergeCell ref="A16:J16"/>
    <mergeCell ref="B17:J17"/>
    <mergeCell ref="A80:J80"/>
    <mergeCell ref="A81:J81"/>
    <mergeCell ref="A106:J106"/>
    <mergeCell ref="A107:J107"/>
    <mergeCell ref="B64:J64"/>
    <mergeCell ref="A93:J93"/>
    <mergeCell ref="A94:J94"/>
    <mergeCell ref="B95:J95"/>
    <mergeCell ref="B144:J144"/>
    <mergeCell ref="B82:J82"/>
    <mergeCell ref="B108:J108"/>
    <mergeCell ref="B128:J128"/>
    <mergeCell ref="A126:J126"/>
    <mergeCell ref="A127:J127"/>
    <mergeCell ref="A142:J142"/>
    <mergeCell ref="A143:J143"/>
  </mergeCells>
  <pageMargins left="0.7" right="0.7" top="0.75" bottom="0.75" header="0.3" footer="0.3"/>
  <pageSetup orientation="landscape" r:id="rId1"/>
  <ignoredErrors>
    <ignoredError sqref="B35 B1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1"/>
  <sheetViews>
    <sheetView topLeftCell="A132" workbookViewId="0">
      <selection activeCell="B138" sqref="B138"/>
    </sheetView>
  </sheetViews>
  <sheetFormatPr defaultRowHeight="15"/>
  <cols>
    <col min="1" max="1" width="34.5703125" customWidth="1"/>
    <col min="2" max="2" width="10.140625" customWidth="1"/>
    <col min="3" max="3" width="7.85546875" customWidth="1"/>
    <col min="4" max="4" width="6.7109375" customWidth="1"/>
    <col min="5" max="5" width="11" customWidth="1"/>
    <col min="6" max="6" width="8.85546875" customWidth="1"/>
    <col min="7" max="7" width="10" customWidth="1"/>
    <col min="8" max="8" width="12.140625" customWidth="1"/>
    <col min="9" max="9" width="9.85546875" customWidth="1"/>
    <col min="10" max="10" width="9.28515625" customWidth="1"/>
    <col min="11" max="11" width="7.28515625" customWidth="1"/>
    <col min="12" max="12" width="7.7109375" customWidth="1"/>
    <col min="13" max="13" width="9.28515625" customWidth="1"/>
    <col min="14" max="14" width="9.5703125" customWidth="1"/>
    <col min="15" max="15" width="9.5703125" bestFit="1" customWidth="1"/>
  </cols>
  <sheetData>
    <row r="1" spans="1:14" ht="20.25">
      <c r="A1" s="205" t="s">
        <v>264</v>
      </c>
      <c r="B1" s="205"/>
      <c r="C1" s="205"/>
      <c r="D1" s="205"/>
      <c r="E1" s="205"/>
      <c r="F1" s="205"/>
      <c r="G1" s="205"/>
      <c r="H1" s="205"/>
      <c r="I1" s="93"/>
      <c r="J1" s="93"/>
      <c r="K1" s="93"/>
      <c r="L1" s="93"/>
      <c r="M1" s="93"/>
      <c r="N1" s="93"/>
    </row>
    <row r="2" spans="1:14" ht="20.25">
      <c r="A2" s="215" t="s">
        <v>55</v>
      </c>
      <c r="B2" s="215"/>
      <c r="C2" s="215"/>
      <c r="D2" s="215"/>
      <c r="E2" s="215"/>
      <c r="F2" s="215"/>
      <c r="G2" s="215"/>
      <c r="H2" s="215"/>
      <c r="I2" s="195"/>
      <c r="J2" s="94"/>
      <c r="K2" s="94"/>
      <c r="L2" s="94"/>
      <c r="M2" s="94"/>
      <c r="N2" s="94"/>
    </row>
    <row r="3" spans="1:14" ht="18.75">
      <c r="A3" s="40"/>
      <c r="B3" s="212" t="s">
        <v>50</v>
      </c>
      <c r="C3" s="213"/>
      <c r="D3" s="213"/>
      <c r="E3" s="213"/>
      <c r="F3" s="213"/>
      <c r="G3" s="213"/>
      <c r="H3" s="213"/>
      <c r="I3" s="189"/>
      <c r="J3" s="189"/>
    </row>
    <row r="4" spans="1:14" ht="42.75">
      <c r="A4" s="41" t="s">
        <v>1</v>
      </c>
      <c r="B4" s="42" t="s">
        <v>2</v>
      </c>
      <c r="C4" s="43" t="s">
        <v>3</v>
      </c>
      <c r="D4" s="44" t="s">
        <v>57</v>
      </c>
      <c r="E4" s="173" t="s">
        <v>201</v>
      </c>
      <c r="F4" s="3" t="s">
        <v>274</v>
      </c>
      <c r="G4" s="45" t="s">
        <v>58</v>
      </c>
      <c r="H4" s="43" t="s">
        <v>6</v>
      </c>
    </row>
    <row r="5" spans="1:14" ht="15.75">
      <c r="A5" s="40"/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6" t="s">
        <v>8</v>
      </c>
    </row>
    <row r="6" spans="1:14">
      <c r="A6" s="46" t="s">
        <v>60</v>
      </c>
      <c r="B6" s="177">
        <f>(2980.72*1.05)+100</f>
        <v>3229.7559999999999</v>
      </c>
      <c r="C6" s="48">
        <v>80</v>
      </c>
      <c r="D6" s="48">
        <v>20</v>
      </c>
      <c r="E6" s="48">
        <v>0</v>
      </c>
      <c r="F6" s="48">
        <v>100</v>
      </c>
      <c r="G6" s="47">
        <v>2000</v>
      </c>
      <c r="H6" s="136">
        <f>SUM(B6:G6)</f>
        <v>5429.7559999999994</v>
      </c>
    </row>
    <row r="7" spans="1:14">
      <c r="A7" s="46" t="s">
        <v>61</v>
      </c>
      <c r="B7" s="177">
        <f>(4596.16*1.05)+100</f>
        <v>4925.9679999999998</v>
      </c>
      <c r="C7" s="48">
        <v>80</v>
      </c>
      <c r="D7" s="48">
        <v>20</v>
      </c>
      <c r="E7" s="47">
        <v>0</v>
      </c>
      <c r="F7" s="47">
        <v>100</v>
      </c>
      <c r="G7" s="47">
        <v>2000</v>
      </c>
      <c r="H7" s="136">
        <f>SUM(B7:G7)</f>
        <v>7125.9679999999998</v>
      </c>
    </row>
    <row r="9" spans="1:14">
      <c r="A9" s="150"/>
      <c r="B9" s="172"/>
      <c r="C9" s="53"/>
      <c r="D9" s="53"/>
      <c r="E9" s="53"/>
      <c r="F9" s="53"/>
      <c r="G9" s="52"/>
      <c r="H9" s="52"/>
      <c r="I9" s="171"/>
    </row>
    <row r="10" spans="1:14">
      <c r="A10" s="21" t="s">
        <v>30</v>
      </c>
      <c r="L10" s="49"/>
    </row>
    <row r="11" spans="1:14">
      <c r="A11" t="s">
        <v>278</v>
      </c>
      <c r="L11" s="49"/>
    </row>
    <row r="12" spans="1:14">
      <c r="A12" t="s">
        <v>277</v>
      </c>
      <c r="L12" s="49"/>
    </row>
    <row r="13" spans="1:14">
      <c r="L13" s="49"/>
    </row>
    <row r="14" spans="1:14">
      <c r="L14" s="49"/>
    </row>
    <row r="15" spans="1:14" ht="20.25">
      <c r="A15" s="203" t="s">
        <v>264</v>
      </c>
      <c r="B15" s="203"/>
      <c r="C15" s="203"/>
      <c r="D15" s="203"/>
      <c r="E15" s="203"/>
      <c r="F15" s="203"/>
      <c r="G15" s="203"/>
      <c r="H15" s="203"/>
      <c r="I15" s="93"/>
      <c r="J15" s="93"/>
      <c r="K15" s="93"/>
      <c r="L15" s="93"/>
      <c r="M15" s="93"/>
      <c r="N15" s="93"/>
    </row>
    <row r="16" spans="1:14" ht="20.25">
      <c r="A16" s="219" t="s">
        <v>269</v>
      </c>
      <c r="B16" s="219"/>
      <c r="C16" s="219"/>
      <c r="D16" s="219"/>
      <c r="E16" s="219"/>
      <c r="F16" s="219"/>
      <c r="G16" s="219"/>
      <c r="H16" s="219"/>
      <c r="I16" s="194"/>
      <c r="J16" s="194"/>
      <c r="K16" s="94"/>
      <c r="L16" s="94"/>
      <c r="M16" s="94"/>
      <c r="N16" s="94"/>
    </row>
    <row r="17" spans="1:14" ht="18.75">
      <c r="A17" s="40"/>
      <c r="B17" s="212" t="s">
        <v>50</v>
      </c>
      <c r="C17" s="213"/>
      <c r="D17" s="213"/>
      <c r="E17" s="213"/>
      <c r="F17" s="213"/>
      <c r="G17" s="213"/>
      <c r="H17" s="213"/>
      <c r="I17" s="189"/>
      <c r="J17" s="189"/>
    </row>
    <row r="18" spans="1:14" ht="42.75">
      <c r="A18" s="41" t="s">
        <v>1</v>
      </c>
      <c r="B18" s="42" t="s">
        <v>2</v>
      </c>
      <c r="C18" s="43" t="s">
        <v>3</v>
      </c>
      <c r="D18" s="44" t="s">
        <v>57</v>
      </c>
      <c r="E18" s="173" t="s">
        <v>201</v>
      </c>
      <c r="F18" s="3" t="s">
        <v>274</v>
      </c>
      <c r="G18" s="45" t="s">
        <v>58</v>
      </c>
      <c r="H18" s="43" t="s">
        <v>6</v>
      </c>
    </row>
    <row r="19" spans="1:14" ht="15.75">
      <c r="A19" s="40"/>
      <c r="B19" s="6" t="s">
        <v>8</v>
      </c>
      <c r="C19" s="6" t="s">
        <v>8</v>
      </c>
      <c r="D19" s="6" t="s">
        <v>8</v>
      </c>
      <c r="E19" s="6" t="s">
        <v>8</v>
      </c>
      <c r="F19" s="6" t="s">
        <v>8</v>
      </c>
      <c r="G19" s="6" t="s">
        <v>8</v>
      </c>
      <c r="H19" s="6" t="s">
        <v>8</v>
      </c>
    </row>
    <row r="20" spans="1:14">
      <c r="A20" s="46" t="s">
        <v>59</v>
      </c>
      <c r="B20" s="177">
        <f>(3641.1*1.05)+100</f>
        <v>3923.1550000000002</v>
      </c>
      <c r="C20" s="48">
        <v>80</v>
      </c>
      <c r="D20" s="48">
        <v>20</v>
      </c>
      <c r="E20" s="48">
        <v>0</v>
      </c>
      <c r="F20" s="48">
        <v>100</v>
      </c>
      <c r="G20" s="185">
        <v>2000</v>
      </c>
      <c r="H20" s="136">
        <f>SUM(B20:G20)</f>
        <v>6123.1550000000007</v>
      </c>
    </row>
    <row r="21" spans="1:14" ht="30">
      <c r="A21" s="170" t="s">
        <v>251</v>
      </c>
      <c r="B21" s="177">
        <f>(2850*1.1)+100</f>
        <v>3235.0000000000005</v>
      </c>
      <c r="C21" s="48">
        <v>80</v>
      </c>
      <c r="D21" s="48">
        <v>20</v>
      </c>
      <c r="E21" s="48">
        <v>200</v>
      </c>
      <c r="F21" s="48">
        <v>100</v>
      </c>
      <c r="G21" s="47">
        <v>0</v>
      </c>
      <c r="H21" s="136">
        <f>SUM(B21:G21)</f>
        <v>3635.0000000000005</v>
      </c>
    </row>
    <row r="22" spans="1:14">
      <c r="A22" s="180"/>
      <c r="B22" s="181"/>
      <c r="C22" s="53"/>
      <c r="D22" s="53"/>
      <c r="E22" s="53"/>
      <c r="F22" s="53"/>
      <c r="G22" s="53"/>
      <c r="H22" s="53"/>
      <c r="I22" s="52"/>
      <c r="J22" s="171"/>
    </row>
    <row r="23" spans="1:14">
      <c r="A23" s="21" t="s">
        <v>30</v>
      </c>
      <c r="B23" s="181"/>
      <c r="C23" s="53"/>
      <c r="D23" s="53"/>
      <c r="E23" s="53"/>
      <c r="F23" s="53"/>
      <c r="G23" s="53"/>
      <c r="H23" s="53"/>
      <c r="I23" s="52"/>
      <c r="J23" s="171"/>
    </row>
    <row r="24" spans="1:14">
      <c r="A24" t="s">
        <v>280</v>
      </c>
      <c r="B24" s="181"/>
      <c r="C24" s="53"/>
      <c r="D24" s="53"/>
      <c r="E24" s="53"/>
      <c r="F24" s="53"/>
      <c r="G24" s="53"/>
      <c r="H24" s="53"/>
      <c r="I24" s="52"/>
      <c r="J24" s="171"/>
    </row>
    <row r="25" spans="1:14">
      <c r="A25" s="180"/>
      <c r="B25" s="181"/>
      <c r="C25" s="53"/>
      <c r="D25" s="53"/>
      <c r="E25" s="53"/>
      <c r="F25" s="53"/>
      <c r="G25" s="53"/>
      <c r="H25" s="53"/>
      <c r="I25" s="52"/>
      <c r="J25" s="171"/>
    </row>
    <row r="26" spans="1:14">
      <c r="L26" s="49"/>
    </row>
    <row r="27" spans="1:14" ht="20.25">
      <c r="J27" s="93"/>
      <c r="K27" s="93"/>
      <c r="L27" s="93"/>
      <c r="M27" s="93"/>
      <c r="N27" s="93"/>
    </row>
    <row r="28" spans="1:14" ht="20.25">
      <c r="A28" s="205" t="s">
        <v>264</v>
      </c>
      <c r="B28" s="205"/>
      <c r="C28" s="205"/>
      <c r="D28" s="205"/>
      <c r="E28" s="205"/>
      <c r="F28" s="205"/>
      <c r="G28" s="205"/>
      <c r="H28" s="93"/>
      <c r="I28" s="93"/>
      <c r="J28" s="94"/>
      <c r="K28" s="94"/>
      <c r="L28" s="94"/>
      <c r="M28" s="94"/>
      <c r="N28" s="94"/>
    </row>
    <row r="29" spans="1:14" ht="18.75">
      <c r="A29" s="219" t="s">
        <v>62</v>
      </c>
      <c r="B29" s="219"/>
      <c r="C29" s="219"/>
      <c r="D29" s="219"/>
      <c r="E29" s="219"/>
      <c r="F29" s="219"/>
      <c r="G29" s="219"/>
      <c r="H29" s="194"/>
      <c r="I29" s="194"/>
    </row>
    <row r="30" spans="1:14" ht="18.75">
      <c r="A30" s="40"/>
      <c r="B30" s="212" t="s">
        <v>50</v>
      </c>
      <c r="C30" s="213"/>
      <c r="D30" s="213"/>
      <c r="E30" s="213"/>
      <c r="F30" s="213"/>
      <c r="G30" s="213"/>
      <c r="H30" s="189"/>
      <c r="I30" s="189"/>
    </row>
    <row r="31" spans="1:14" ht="42.75">
      <c r="A31" s="41" t="s">
        <v>1</v>
      </c>
      <c r="B31" s="42" t="s">
        <v>2</v>
      </c>
      <c r="C31" s="50" t="s">
        <v>3</v>
      </c>
      <c r="D31" s="44" t="s">
        <v>57</v>
      </c>
      <c r="E31" s="45" t="s">
        <v>58</v>
      </c>
      <c r="F31" s="3" t="s">
        <v>274</v>
      </c>
      <c r="G31" s="43" t="s">
        <v>6</v>
      </c>
      <c r="I31" s="52"/>
      <c r="K31" s="10"/>
    </row>
    <row r="32" spans="1:14" ht="15.75">
      <c r="A32" s="40"/>
      <c r="B32" s="6" t="s">
        <v>8</v>
      </c>
      <c r="C32" s="6" t="s">
        <v>8</v>
      </c>
      <c r="D32" s="6" t="s">
        <v>8</v>
      </c>
      <c r="E32" s="6" t="s">
        <v>8</v>
      </c>
      <c r="F32" s="6" t="s">
        <v>8</v>
      </c>
      <c r="G32" s="6" t="s">
        <v>8</v>
      </c>
      <c r="I32" s="52"/>
      <c r="K32" s="10"/>
    </row>
    <row r="33" spans="1:14" ht="15.75">
      <c r="A33" s="51" t="s">
        <v>63</v>
      </c>
      <c r="B33" s="177">
        <f>(3964.665*1.05)+100</f>
        <v>4262.8982500000002</v>
      </c>
      <c r="C33" s="48">
        <v>80</v>
      </c>
      <c r="D33" s="48">
        <v>20</v>
      </c>
      <c r="E33" s="47">
        <f>800*1.05</f>
        <v>840</v>
      </c>
      <c r="F33" s="47">
        <v>100</v>
      </c>
      <c r="G33" s="136">
        <f t="shared" ref="G33:G39" si="0">SUM(B33:F33)</f>
        <v>5302.8982500000002</v>
      </c>
      <c r="I33" s="52"/>
      <c r="K33" s="10"/>
    </row>
    <row r="34" spans="1:14" ht="15.75">
      <c r="A34" s="51" t="s">
        <v>64</v>
      </c>
      <c r="B34" s="177">
        <f>(3243.865*1.05)+100</f>
        <v>3506.05825</v>
      </c>
      <c r="C34" s="48">
        <v>80</v>
      </c>
      <c r="D34" s="48">
        <v>20</v>
      </c>
      <c r="E34" s="47">
        <f t="shared" ref="E34:E39" si="1">800*1.05</f>
        <v>840</v>
      </c>
      <c r="F34" s="47">
        <v>100</v>
      </c>
      <c r="G34" s="136">
        <f t="shared" si="0"/>
        <v>4546.05825</v>
      </c>
      <c r="I34" s="52"/>
      <c r="K34" s="10"/>
    </row>
    <row r="35" spans="1:14" ht="15.75">
      <c r="A35" s="51" t="s">
        <v>65</v>
      </c>
      <c r="B35" s="177">
        <f>(3243.865*1.05)+100</f>
        <v>3506.05825</v>
      </c>
      <c r="C35" s="48">
        <v>80</v>
      </c>
      <c r="D35" s="48">
        <v>20</v>
      </c>
      <c r="E35" s="47">
        <f t="shared" si="1"/>
        <v>840</v>
      </c>
      <c r="F35" s="47">
        <v>100</v>
      </c>
      <c r="G35" s="136">
        <f t="shared" si="0"/>
        <v>4546.05825</v>
      </c>
      <c r="I35" s="52"/>
      <c r="K35" s="10"/>
    </row>
    <row r="36" spans="1:14" ht="15.75">
      <c r="A36" s="51" t="s">
        <v>66</v>
      </c>
      <c r="B36" s="177">
        <f>(3964.665*1.05)+100</f>
        <v>4262.8982500000002</v>
      </c>
      <c r="C36" s="48">
        <v>80</v>
      </c>
      <c r="D36" s="48">
        <v>20</v>
      </c>
      <c r="E36" s="47">
        <f t="shared" si="1"/>
        <v>840</v>
      </c>
      <c r="F36" s="47">
        <v>100</v>
      </c>
      <c r="G36" s="136">
        <f t="shared" si="0"/>
        <v>5302.8982500000002</v>
      </c>
      <c r="I36" s="52"/>
      <c r="K36" s="10"/>
    </row>
    <row r="37" spans="1:14" ht="15.75">
      <c r="A37" s="51" t="s">
        <v>67</v>
      </c>
      <c r="B37" s="177">
        <f>(3243.865*1.05)+100</f>
        <v>3506.05825</v>
      </c>
      <c r="C37" s="48">
        <v>80</v>
      </c>
      <c r="D37" s="48">
        <v>20</v>
      </c>
      <c r="E37" s="47">
        <f t="shared" si="1"/>
        <v>840</v>
      </c>
      <c r="F37" s="47">
        <v>100</v>
      </c>
      <c r="G37" s="136">
        <f t="shared" si="0"/>
        <v>4546.05825</v>
      </c>
      <c r="I37" s="52"/>
      <c r="K37" s="10"/>
    </row>
    <row r="38" spans="1:14" ht="15.75">
      <c r="A38" s="51" t="s">
        <v>68</v>
      </c>
      <c r="B38" s="177">
        <f>(3243.865*1.05)+100</f>
        <v>3506.05825</v>
      </c>
      <c r="C38" s="48">
        <v>80</v>
      </c>
      <c r="D38" s="48">
        <v>20</v>
      </c>
      <c r="E38" s="47">
        <f t="shared" si="1"/>
        <v>840</v>
      </c>
      <c r="F38" s="47">
        <v>100</v>
      </c>
      <c r="G38" s="136">
        <f t="shared" si="0"/>
        <v>4546.05825</v>
      </c>
      <c r="I38" s="52"/>
    </row>
    <row r="39" spans="1:14" ht="15.75">
      <c r="A39" s="51" t="s">
        <v>69</v>
      </c>
      <c r="B39" s="127">
        <f>(3243.865*1.05)+100</f>
        <v>3506.05825</v>
      </c>
      <c r="C39" s="48">
        <v>80</v>
      </c>
      <c r="D39" s="48">
        <v>20</v>
      </c>
      <c r="E39" s="47">
        <f t="shared" si="1"/>
        <v>840</v>
      </c>
      <c r="F39" s="47">
        <v>100</v>
      </c>
      <c r="G39" s="136">
        <f t="shared" si="0"/>
        <v>4546.05825</v>
      </c>
      <c r="H39" s="52"/>
      <c r="I39" s="53"/>
      <c r="J39" s="53"/>
      <c r="K39" s="52"/>
    </row>
    <row r="40" spans="1:14" ht="15.75">
      <c r="A40" s="7"/>
      <c r="B40" s="52"/>
      <c r="C40" s="53"/>
      <c r="D40" s="53"/>
      <c r="E40" s="53"/>
      <c r="F40" s="53"/>
      <c r="G40" s="52"/>
      <c r="H40" s="52"/>
      <c r="I40" s="54"/>
      <c r="K40" s="56"/>
      <c r="L40" s="56"/>
      <c r="M40" s="57"/>
      <c r="N40" s="55"/>
    </row>
    <row r="41" spans="1:14">
      <c r="A41" s="21" t="s">
        <v>30</v>
      </c>
      <c r="L41" s="49"/>
    </row>
    <row r="42" spans="1:14">
      <c r="A42" t="s">
        <v>261</v>
      </c>
      <c r="L42" s="49"/>
    </row>
    <row r="43" spans="1:14">
      <c r="L43" s="49"/>
    </row>
    <row r="44" spans="1:14">
      <c r="L44" s="49"/>
    </row>
    <row r="45" spans="1:14" ht="20.25">
      <c r="A45" s="205" t="s">
        <v>264</v>
      </c>
      <c r="B45" s="205"/>
      <c r="C45" s="205"/>
      <c r="D45" s="205"/>
      <c r="E45" s="205"/>
      <c r="F45" s="205"/>
      <c r="G45" s="205"/>
      <c r="H45" s="93"/>
      <c r="I45" s="93"/>
      <c r="J45" s="93"/>
      <c r="K45" s="93"/>
      <c r="L45" s="93"/>
      <c r="M45" s="93"/>
      <c r="N45" s="93"/>
    </row>
    <row r="46" spans="1:14" ht="20.25">
      <c r="A46" s="217" t="s">
        <v>70</v>
      </c>
      <c r="B46" s="217"/>
      <c r="C46" s="217"/>
      <c r="D46" s="217"/>
      <c r="E46" s="217"/>
      <c r="F46" s="217"/>
      <c r="G46" s="217"/>
      <c r="H46" s="196"/>
      <c r="I46" s="196"/>
      <c r="J46" s="94"/>
      <c r="K46" s="94"/>
      <c r="L46" s="94"/>
      <c r="M46" s="94"/>
      <c r="N46" s="94"/>
    </row>
    <row r="47" spans="1:14" ht="18.75">
      <c r="A47" s="40"/>
      <c r="B47" s="212" t="s">
        <v>50</v>
      </c>
      <c r="C47" s="213"/>
      <c r="D47" s="213"/>
      <c r="E47" s="213"/>
      <c r="F47" s="213"/>
      <c r="G47" s="213"/>
      <c r="H47" s="189"/>
      <c r="I47" s="189"/>
    </row>
    <row r="48" spans="1:14" ht="42.75">
      <c r="A48" s="41" t="s">
        <v>1</v>
      </c>
      <c r="B48" s="42" t="s">
        <v>2</v>
      </c>
      <c r="C48" s="43" t="s">
        <v>3</v>
      </c>
      <c r="D48" s="44" t="s">
        <v>57</v>
      </c>
      <c r="E48" s="97" t="s">
        <v>58</v>
      </c>
      <c r="F48" s="3" t="s">
        <v>274</v>
      </c>
      <c r="G48" s="43" t="s">
        <v>6</v>
      </c>
    </row>
    <row r="49" spans="1:14" ht="15.75">
      <c r="A49" s="40"/>
      <c r="B49" s="6" t="s">
        <v>8</v>
      </c>
      <c r="C49" s="6" t="s">
        <v>8</v>
      </c>
      <c r="D49" s="6" t="s">
        <v>8</v>
      </c>
      <c r="E49" s="6" t="s">
        <v>8</v>
      </c>
      <c r="F49" s="6" t="s">
        <v>8</v>
      </c>
      <c r="G49" s="98" t="s">
        <v>8</v>
      </c>
    </row>
    <row r="50" spans="1:14" ht="15.75">
      <c r="A50" s="51" t="s">
        <v>71</v>
      </c>
      <c r="B50" s="177">
        <f>(4097.165*1.05)+100</f>
        <v>4402.0232500000002</v>
      </c>
      <c r="C50" s="48">
        <v>80</v>
      </c>
      <c r="D50" s="48">
        <v>20</v>
      </c>
      <c r="E50" s="47">
        <v>600</v>
      </c>
      <c r="F50" s="47">
        <v>100</v>
      </c>
      <c r="G50" s="136">
        <f>SUM(B50:F50)</f>
        <v>5202.0232500000002</v>
      </c>
    </row>
    <row r="51" spans="1:14" ht="15.75">
      <c r="A51" s="51" t="s">
        <v>72</v>
      </c>
      <c r="B51" s="177">
        <f>(4097.165*1.05)+100</f>
        <v>4402.0232500000002</v>
      </c>
      <c r="C51" s="48">
        <v>80</v>
      </c>
      <c r="D51" s="48">
        <v>20</v>
      </c>
      <c r="E51" s="47">
        <v>600</v>
      </c>
      <c r="F51" s="47">
        <v>100</v>
      </c>
      <c r="G51" s="136">
        <f>SUM(B51:F51)</f>
        <v>5202.0232500000002</v>
      </c>
    </row>
    <row r="52" spans="1:14" ht="15.75">
      <c r="A52" s="51" t="s">
        <v>73</v>
      </c>
      <c r="B52" s="177">
        <f>(3074*1.05)+100</f>
        <v>3327.7000000000003</v>
      </c>
      <c r="C52" s="48">
        <v>80</v>
      </c>
      <c r="D52" s="48">
        <v>20</v>
      </c>
      <c r="E52" s="48">
        <v>0</v>
      </c>
      <c r="F52" s="47">
        <v>100</v>
      </c>
      <c r="G52" s="136">
        <f>SUM(B52:F52)</f>
        <v>3527.7000000000003</v>
      </c>
    </row>
    <row r="53" spans="1:14" ht="15.75">
      <c r="A53" s="51" t="s">
        <v>74</v>
      </c>
      <c r="B53" s="177">
        <f>(3074*1.05)+100</f>
        <v>3327.7000000000003</v>
      </c>
      <c r="C53" s="48">
        <v>80</v>
      </c>
      <c r="D53" s="48">
        <v>20</v>
      </c>
      <c r="E53" s="48">
        <v>0</v>
      </c>
      <c r="F53" s="47">
        <v>100</v>
      </c>
      <c r="G53" s="136">
        <f>SUM(B53:F53)</f>
        <v>3527.7000000000003</v>
      </c>
    </row>
    <row r="54" spans="1:14" ht="15.75">
      <c r="A54" s="7"/>
      <c r="B54" s="57"/>
      <c r="C54" s="56"/>
      <c r="D54" s="56"/>
      <c r="E54" s="56"/>
      <c r="F54" s="56"/>
      <c r="G54" s="57"/>
      <c r="H54" s="57"/>
      <c r="I54" s="54"/>
      <c r="J54" s="57"/>
      <c r="K54" s="56"/>
      <c r="L54" s="56"/>
      <c r="M54" s="56"/>
      <c r="N54" s="55"/>
    </row>
    <row r="55" spans="1:14" ht="15.75">
      <c r="A55" s="21" t="s">
        <v>30</v>
      </c>
      <c r="B55" s="57"/>
      <c r="C55" s="56"/>
      <c r="D55" s="56"/>
      <c r="E55" s="56"/>
      <c r="F55" s="56"/>
      <c r="G55" s="57"/>
      <c r="H55" s="57"/>
      <c r="I55" s="54"/>
      <c r="J55" s="57"/>
      <c r="K55" s="56"/>
      <c r="L55" s="56"/>
      <c r="M55" s="56"/>
      <c r="N55" s="55"/>
    </row>
    <row r="56" spans="1:14" ht="15.75">
      <c r="A56" t="s">
        <v>262</v>
      </c>
      <c r="B56" s="57"/>
      <c r="C56" s="56"/>
      <c r="D56" s="56"/>
      <c r="E56" s="56"/>
      <c r="F56" s="56"/>
      <c r="G56" s="57"/>
      <c r="H56" s="57"/>
      <c r="I56" s="54"/>
      <c r="J56" s="57"/>
      <c r="K56" s="56"/>
      <c r="L56" s="56"/>
      <c r="M56" s="56"/>
      <c r="N56" s="55"/>
    </row>
    <row r="57" spans="1:14" ht="15.75">
      <c r="B57" s="57"/>
      <c r="C57" s="56"/>
      <c r="D57" s="56"/>
      <c r="E57" s="56"/>
      <c r="F57" s="56"/>
      <c r="G57" s="57"/>
      <c r="H57" s="57"/>
      <c r="I57" s="54"/>
      <c r="J57" s="57"/>
      <c r="K57" s="56"/>
      <c r="L57" s="56"/>
      <c r="M57" s="56"/>
      <c r="N57" s="55"/>
    </row>
    <row r="58" spans="1:14" ht="15.75">
      <c r="B58" s="57"/>
      <c r="C58" s="56"/>
      <c r="D58" s="56"/>
      <c r="E58" s="56"/>
      <c r="F58" s="56"/>
      <c r="G58" s="57"/>
      <c r="H58" s="57"/>
      <c r="I58" s="54"/>
      <c r="J58" s="57"/>
      <c r="K58" s="56"/>
      <c r="L58" s="56"/>
      <c r="M58" s="56"/>
      <c r="N58" s="55"/>
    </row>
    <row r="59" spans="1:14" ht="15.75">
      <c r="B59" s="57"/>
      <c r="C59" s="56"/>
      <c r="D59" s="56"/>
      <c r="E59" s="56"/>
      <c r="F59" s="56"/>
      <c r="G59" s="57"/>
      <c r="H59" s="57"/>
      <c r="I59" s="54"/>
      <c r="J59" s="57"/>
      <c r="K59" s="56"/>
      <c r="L59" s="56"/>
      <c r="M59" s="56"/>
      <c r="N59" s="55"/>
    </row>
    <row r="60" spans="1:14" ht="20.25">
      <c r="A60" s="205" t="s">
        <v>264</v>
      </c>
      <c r="B60" s="205"/>
      <c r="C60" s="205"/>
      <c r="D60" s="205"/>
      <c r="E60" s="205"/>
      <c r="F60" s="205"/>
      <c r="G60" s="205"/>
      <c r="H60" s="93"/>
      <c r="I60" s="93"/>
      <c r="J60" s="93"/>
      <c r="K60" s="93"/>
      <c r="L60" s="93"/>
      <c r="M60" s="93"/>
      <c r="N60" s="93"/>
    </row>
    <row r="61" spans="1:14" ht="20.25">
      <c r="A61" s="216" t="s">
        <v>75</v>
      </c>
      <c r="B61" s="216"/>
      <c r="C61" s="216"/>
      <c r="D61" s="216"/>
      <c r="E61" s="216"/>
      <c r="F61" s="216"/>
      <c r="G61" s="216"/>
      <c r="H61" s="94"/>
      <c r="I61" s="94"/>
      <c r="J61" s="94"/>
      <c r="K61" s="94"/>
      <c r="L61" s="94"/>
      <c r="M61" s="94"/>
      <c r="N61" s="94"/>
    </row>
    <row r="62" spans="1:14" ht="18.75">
      <c r="A62" s="40"/>
      <c r="B62" s="212" t="s">
        <v>50</v>
      </c>
      <c r="C62" s="213"/>
      <c r="D62" s="213"/>
      <c r="E62" s="213"/>
      <c r="F62" s="213"/>
      <c r="G62" s="213"/>
      <c r="H62" s="189"/>
      <c r="I62" s="189"/>
      <c r="J62" s="218"/>
      <c r="K62" s="218"/>
      <c r="L62" s="218"/>
      <c r="M62" s="218"/>
      <c r="N62" s="218"/>
    </row>
    <row r="63" spans="1:14" ht="48.75">
      <c r="A63" s="41" t="s">
        <v>1</v>
      </c>
      <c r="B63" s="42" t="s">
        <v>2</v>
      </c>
      <c r="C63" s="43" t="s">
        <v>3</v>
      </c>
      <c r="D63" s="44" t="s">
        <v>57</v>
      </c>
      <c r="E63" s="45" t="s">
        <v>276</v>
      </c>
      <c r="F63" s="3" t="s">
        <v>274</v>
      </c>
      <c r="G63" s="43" t="s">
        <v>6</v>
      </c>
      <c r="H63" s="3"/>
      <c r="I63" s="58"/>
      <c r="J63" s="59"/>
      <c r="K63" s="60"/>
      <c r="L63" s="58"/>
    </row>
    <row r="64" spans="1:14" ht="15.75">
      <c r="A64" s="40"/>
      <c r="B64" s="6" t="s">
        <v>8</v>
      </c>
      <c r="C64" s="6" t="s">
        <v>8</v>
      </c>
      <c r="D64" s="6" t="s">
        <v>8</v>
      </c>
      <c r="E64" s="6" t="s">
        <v>8</v>
      </c>
      <c r="F64" s="6" t="s">
        <v>8</v>
      </c>
      <c r="G64" s="6" t="s">
        <v>8</v>
      </c>
      <c r="H64" s="2"/>
      <c r="I64" s="2"/>
      <c r="J64" s="2"/>
      <c r="K64" s="2"/>
      <c r="L64" s="2"/>
    </row>
    <row r="65" spans="1:14" ht="15.75">
      <c r="A65" s="51" t="s">
        <v>76</v>
      </c>
      <c r="B65" s="137">
        <f>(5046*1.05)+100</f>
        <v>5398.3</v>
      </c>
      <c r="C65" s="48">
        <v>80</v>
      </c>
      <c r="D65" s="48">
        <v>20</v>
      </c>
      <c r="E65" s="61">
        <v>1500</v>
      </c>
      <c r="F65" s="61">
        <v>100</v>
      </c>
      <c r="G65" s="136">
        <f>SUM(B65:F65)</f>
        <v>7098.3</v>
      </c>
      <c r="H65" s="63"/>
      <c r="I65" s="64"/>
      <c r="J65" s="64"/>
      <c r="K65" s="63"/>
      <c r="L65" s="55"/>
    </row>
    <row r="66" spans="1:14" ht="15.75">
      <c r="A66" s="7"/>
      <c r="B66" s="57"/>
      <c r="C66" s="56"/>
      <c r="D66" s="56"/>
      <c r="E66" s="56"/>
      <c r="F66" s="56"/>
      <c r="G66" s="57"/>
      <c r="H66" s="57"/>
      <c r="I66" s="54"/>
      <c r="J66" s="57"/>
      <c r="K66" s="56"/>
      <c r="L66" s="56"/>
      <c r="M66" s="57"/>
      <c r="N66" s="55"/>
    </row>
    <row r="67" spans="1:14" ht="15.75">
      <c r="A67" s="21" t="s">
        <v>30</v>
      </c>
      <c r="B67" s="57"/>
      <c r="C67" s="56"/>
      <c r="D67" s="56"/>
      <c r="E67" s="56"/>
      <c r="F67" s="56"/>
      <c r="G67" s="57"/>
      <c r="H67" s="57"/>
      <c r="I67" s="54"/>
      <c r="J67" s="57"/>
      <c r="K67" s="56"/>
      <c r="L67" s="56"/>
      <c r="M67" s="57"/>
      <c r="N67" s="55"/>
    </row>
    <row r="68" spans="1:14" ht="15.75">
      <c r="A68" t="s">
        <v>298</v>
      </c>
      <c r="B68" s="57"/>
      <c r="C68" s="56"/>
      <c r="D68" s="56"/>
      <c r="E68" s="56"/>
      <c r="F68" s="56"/>
      <c r="G68" s="57"/>
      <c r="H68" s="57"/>
      <c r="I68" s="54"/>
      <c r="J68" s="57"/>
      <c r="K68" s="56"/>
      <c r="L68" s="56"/>
      <c r="M68" s="57"/>
      <c r="N68" s="55"/>
    </row>
    <row r="69" spans="1:14" ht="15.75">
      <c r="A69" s="7"/>
      <c r="B69" s="57"/>
      <c r="C69" s="56"/>
      <c r="D69" s="56"/>
      <c r="E69" s="56"/>
      <c r="F69" s="56"/>
      <c r="G69" s="57"/>
      <c r="H69" s="57"/>
      <c r="I69" s="54"/>
      <c r="J69" s="57"/>
      <c r="K69" s="56"/>
      <c r="L69" s="56"/>
      <c r="M69" s="57"/>
      <c r="N69" s="55"/>
    </row>
    <row r="70" spans="1:14" ht="15.75">
      <c r="A70" s="7"/>
      <c r="B70" s="57"/>
      <c r="C70" s="56"/>
      <c r="D70" s="56"/>
      <c r="E70" s="56"/>
      <c r="F70" s="56"/>
      <c r="G70" s="57"/>
      <c r="H70" s="57"/>
      <c r="I70" s="54"/>
      <c r="J70" s="57"/>
      <c r="K70" s="56"/>
      <c r="L70" s="56"/>
      <c r="M70" s="57"/>
      <c r="N70" s="55"/>
    </row>
    <row r="71" spans="1:14" ht="15.75">
      <c r="A71" s="7"/>
      <c r="B71" s="57"/>
      <c r="C71" s="56"/>
      <c r="D71" s="56"/>
      <c r="E71" s="56"/>
      <c r="F71" s="56"/>
      <c r="G71" s="57"/>
      <c r="H71" s="57"/>
      <c r="I71" s="54"/>
      <c r="J71" s="57"/>
      <c r="K71" s="56"/>
      <c r="L71" s="56"/>
      <c r="M71" s="57"/>
      <c r="N71" s="55"/>
    </row>
    <row r="72" spans="1:14" ht="20.25">
      <c r="A72" s="205" t="s">
        <v>264</v>
      </c>
      <c r="B72" s="205"/>
      <c r="C72" s="205"/>
      <c r="D72" s="205"/>
      <c r="E72" s="205"/>
      <c r="F72" s="205"/>
      <c r="G72" s="205"/>
      <c r="H72" s="93"/>
      <c r="I72" s="93"/>
      <c r="J72" s="93"/>
      <c r="K72" s="93"/>
      <c r="L72" s="93"/>
      <c r="M72" s="93"/>
      <c r="N72" s="93"/>
    </row>
    <row r="73" spans="1:14" ht="20.25">
      <c r="A73" s="217" t="s">
        <v>77</v>
      </c>
      <c r="B73" s="217"/>
      <c r="C73" s="217"/>
      <c r="D73" s="217"/>
      <c r="E73" s="217"/>
      <c r="F73" s="217"/>
      <c r="G73" s="217"/>
      <c r="H73" s="196"/>
      <c r="I73" s="196"/>
      <c r="J73" s="94"/>
      <c r="K73" s="94"/>
      <c r="L73" s="94"/>
      <c r="M73" s="94"/>
      <c r="N73" s="94"/>
    </row>
    <row r="74" spans="1:14" ht="18.75">
      <c r="A74" s="40"/>
      <c r="B74" s="212" t="s">
        <v>50</v>
      </c>
      <c r="C74" s="213"/>
      <c r="D74" s="213"/>
      <c r="E74" s="213"/>
      <c r="F74" s="213"/>
      <c r="G74" s="213"/>
      <c r="H74" s="189"/>
      <c r="I74" s="189"/>
    </row>
    <row r="75" spans="1:14" ht="42.75">
      <c r="A75" s="41" t="s">
        <v>1</v>
      </c>
      <c r="B75" s="42" t="s">
        <v>2</v>
      </c>
      <c r="C75" s="43" t="s">
        <v>3</v>
      </c>
      <c r="D75" s="44" t="s">
        <v>57</v>
      </c>
      <c r="E75" s="45" t="s">
        <v>58</v>
      </c>
      <c r="F75" s="3" t="s">
        <v>274</v>
      </c>
      <c r="G75" s="43" t="s">
        <v>6</v>
      </c>
    </row>
    <row r="76" spans="1:14" ht="15.75">
      <c r="A76" s="40"/>
      <c r="B76" s="65" t="s">
        <v>32</v>
      </c>
      <c r="C76" s="65" t="s">
        <v>32</v>
      </c>
      <c r="D76" s="65" t="s">
        <v>32</v>
      </c>
      <c r="E76" s="65" t="s">
        <v>32</v>
      </c>
      <c r="F76" s="65" t="s">
        <v>32</v>
      </c>
      <c r="G76" s="65" t="s">
        <v>32</v>
      </c>
    </row>
    <row r="77" spans="1:14" ht="15.75">
      <c r="A77" s="51" t="s">
        <v>60</v>
      </c>
      <c r="B77" s="137">
        <f>1571.07+16</f>
        <v>1587.07</v>
      </c>
      <c r="C77" s="62">
        <v>9</v>
      </c>
      <c r="D77" s="62">
        <v>2</v>
      </c>
      <c r="E77" s="61">
        <v>165</v>
      </c>
      <c r="F77" s="61">
        <v>15</v>
      </c>
      <c r="G77" s="136">
        <f>SUM(B77:F77)</f>
        <v>1778.07</v>
      </c>
    </row>
    <row r="78" spans="1:14" ht="15.75">
      <c r="A78" s="51" t="s">
        <v>61</v>
      </c>
      <c r="B78" s="137">
        <f>3351.07+16</f>
        <v>3367.07</v>
      </c>
      <c r="C78" s="62">
        <v>9</v>
      </c>
      <c r="D78" s="62">
        <v>2</v>
      </c>
      <c r="E78" s="61">
        <v>165</v>
      </c>
      <c r="F78" s="61">
        <v>15</v>
      </c>
      <c r="G78" s="136">
        <f>SUM(B78:F78)</f>
        <v>3558.07</v>
      </c>
    </row>
    <row r="79" spans="1:14" ht="15.75">
      <c r="A79" s="7"/>
      <c r="B79" s="57"/>
      <c r="C79" s="56"/>
      <c r="D79" s="56"/>
      <c r="E79" s="56"/>
      <c r="F79" s="56"/>
      <c r="G79" s="57"/>
      <c r="H79" s="57"/>
      <c r="I79" s="54"/>
      <c r="J79" s="57"/>
      <c r="K79" s="56"/>
      <c r="L79" s="56"/>
      <c r="M79" s="57"/>
      <c r="N79" s="55"/>
    </row>
    <row r="80" spans="1:14" ht="15.75">
      <c r="A80" s="32" t="s">
        <v>30</v>
      </c>
      <c r="B80" s="57"/>
      <c r="C80" s="56"/>
      <c r="D80" s="56"/>
      <c r="E80" s="56"/>
      <c r="F80" s="56"/>
      <c r="G80" s="57"/>
      <c r="H80" s="57"/>
      <c r="I80" s="54"/>
      <c r="J80" s="57"/>
      <c r="K80" s="56"/>
      <c r="L80" s="56"/>
      <c r="M80" s="57"/>
      <c r="N80" s="55"/>
    </row>
    <row r="81" spans="1:14" ht="15.75">
      <c r="A81" t="s">
        <v>270</v>
      </c>
      <c r="B81" s="57"/>
      <c r="C81" s="56"/>
      <c r="D81" s="56"/>
      <c r="E81" s="56"/>
      <c r="F81" s="56"/>
      <c r="G81" s="57"/>
      <c r="H81" s="57"/>
      <c r="I81" s="54"/>
      <c r="J81" s="57"/>
      <c r="K81" s="56"/>
      <c r="L81" s="56"/>
      <c r="M81" s="57"/>
      <c r="N81" s="55"/>
    </row>
    <row r="82" spans="1:14" ht="15.75">
      <c r="A82" t="s">
        <v>18</v>
      </c>
      <c r="B82" s="57"/>
      <c r="C82" s="56"/>
      <c r="D82" s="56"/>
      <c r="E82" s="56"/>
      <c r="F82" s="56"/>
      <c r="G82" s="57"/>
      <c r="H82" s="57"/>
      <c r="I82" s="54"/>
      <c r="J82" s="57"/>
      <c r="K82" s="56"/>
      <c r="L82" s="56"/>
      <c r="M82" s="57"/>
      <c r="N82" s="55"/>
    </row>
    <row r="83" spans="1:14" ht="15.75">
      <c r="B83" s="57"/>
      <c r="C83" s="56"/>
      <c r="D83" s="56"/>
      <c r="E83" s="56"/>
      <c r="F83" s="56"/>
      <c r="G83" s="57"/>
      <c r="H83" s="57"/>
      <c r="I83" s="54"/>
      <c r="J83" s="57"/>
      <c r="K83" s="56"/>
      <c r="L83" s="56"/>
      <c r="M83" s="57"/>
      <c r="N83" s="55"/>
    </row>
    <row r="84" spans="1:14" ht="15.75">
      <c r="B84" s="57"/>
      <c r="C84" s="56"/>
      <c r="D84" s="56"/>
      <c r="E84" s="56"/>
      <c r="F84" s="56"/>
      <c r="G84" s="57"/>
      <c r="H84" s="57"/>
      <c r="I84" s="54"/>
      <c r="J84" s="57"/>
      <c r="K84" s="56"/>
      <c r="L84" s="56"/>
      <c r="M84" s="57"/>
      <c r="N84" s="55"/>
    </row>
    <row r="85" spans="1:14" ht="20.25">
      <c r="A85" s="205" t="s">
        <v>264</v>
      </c>
      <c r="B85" s="205"/>
      <c r="C85" s="205"/>
      <c r="D85" s="205"/>
      <c r="E85" s="205"/>
      <c r="F85" s="205"/>
      <c r="G85" s="205"/>
      <c r="H85" s="93"/>
      <c r="I85" s="93"/>
      <c r="J85" s="93"/>
      <c r="K85" s="93"/>
      <c r="L85" s="93"/>
      <c r="M85" s="93"/>
      <c r="N85" s="93"/>
    </row>
    <row r="86" spans="1:14" ht="20.25">
      <c r="A86" s="217" t="s">
        <v>271</v>
      </c>
      <c r="B86" s="217"/>
      <c r="C86" s="217"/>
      <c r="D86" s="217"/>
      <c r="E86" s="217"/>
      <c r="F86" s="217"/>
      <c r="G86" s="217"/>
      <c r="H86" s="196"/>
      <c r="I86" s="196"/>
      <c r="J86" s="196"/>
      <c r="K86" s="94"/>
      <c r="L86" s="94"/>
      <c r="M86" s="94"/>
      <c r="N86" s="94"/>
    </row>
    <row r="87" spans="1:14" ht="18.75">
      <c r="A87" s="40"/>
      <c r="B87" s="212" t="s">
        <v>50</v>
      </c>
      <c r="C87" s="213"/>
      <c r="D87" s="213"/>
      <c r="E87" s="213"/>
      <c r="F87" s="213"/>
      <c r="G87" s="213"/>
      <c r="H87" s="189"/>
      <c r="I87" s="189"/>
    </row>
    <row r="88" spans="1:14" ht="42.75">
      <c r="A88" s="41" t="s">
        <v>1</v>
      </c>
      <c r="B88" s="42" t="s">
        <v>2</v>
      </c>
      <c r="C88" s="43" t="s">
        <v>3</v>
      </c>
      <c r="D88" s="44" t="s">
        <v>57</v>
      </c>
      <c r="E88" s="45" t="s">
        <v>58</v>
      </c>
      <c r="F88" s="3" t="s">
        <v>274</v>
      </c>
      <c r="G88" s="43" t="s">
        <v>6</v>
      </c>
    </row>
    <row r="89" spans="1:14" ht="15.75">
      <c r="A89" s="40"/>
      <c r="B89" s="65" t="s">
        <v>32</v>
      </c>
      <c r="C89" s="65" t="s">
        <v>32</v>
      </c>
      <c r="D89" s="65" t="s">
        <v>32</v>
      </c>
      <c r="E89" s="65" t="s">
        <v>32</v>
      </c>
      <c r="F89" s="65" t="s">
        <v>32</v>
      </c>
      <c r="G89" s="65" t="s">
        <v>32</v>
      </c>
    </row>
    <row r="90" spans="1:14" ht="15.75">
      <c r="A90" s="51" t="s">
        <v>59</v>
      </c>
      <c r="B90" s="137">
        <f>1851.07+16</f>
        <v>1867.07</v>
      </c>
      <c r="C90" s="62">
        <v>9</v>
      </c>
      <c r="D90" s="62">
        <v>2</v>
      </c>
      <c r="E90" s="61">
        <v>165</v>
      </c>
      <c r="F90" s="61">
        <v>15</v>
      </c>
      <c r="G90" s="136">
        <f>SUM(B90:F90)</f>
        <v>2058.0699999999997</v>
      </c>
    </row>
    <row r="91" spans="1:14" ht="15.75">
      <c r="B91" s="57"/>
      <c r="C91" s="56"/>
      <c r="D91" s="56"/>
      <c r="E91" s="56"/>
      <c r="F91" s="56"/>
      <c r="G91" s="57"/>
      <c r="H91" s="57"/>
      <c r="I91" s="54"/>
      <c r="J91" s="57"/>
      <c r="K91" s="56"/>
      <c r="L91" s="56"/>
      <c r="M91" s="57"/>
      <c r="N91" s="55"/>
    </row>
    <row r="92" spans="1:14" ht="15.75">
      <c r="A92" s="32" t="s">
        <v>30</v>
      </c>
      <c r="B92" s="57"/>
      <c r="C92" s="56"/>
      <c r="D92" s="56"/>
      <c r="E92" s="56"/>
      <c r="F92" s="56"/>
      <c r="G92" s="57"/>
      <c r="H92" s="57"/>
      <c r="I92" s="54"/>
      <c r="J92" s="57"/>
      <c r="K92" s="56"/>
      <c r="L92" s="56"/>
      <c r="M92" s="57"/>
      <c r="N92" s="55"/>
    </row>
    <row r="93" spans="1:14" ht="15.75">
      <c r="A93" t="s">
        <v>194</v>
      </c>
      <c r="B93" s="57"/>
      <c r="C93" s="56"/>
      <c r="D93" s="56"/>
      <c r="E93" s="56"/>
      <c r="F93" s="56"/>
      <c r="G93" s="57"/>
      <c r="H93" s="57"/>
      <c r="I93" s="54"/>
      <c r="J93" s="57"/>
      <c r="K93" s="56"/>
      <c r="L93" s="56"/>
      <c r="M93" s="57"/>
      <c r="N93" s="55"/>
    </row>
    <row r="94" spans="1:14" ht="15.75">
      <c r="B94" s="57"/>
      <c r="C94" s="56"/>
      <c r="D94" s="56"/>
      <c r="E94" s="56"/>
      <c r="F94" s="56"/>
      <c r="G94" s="57"/>
      <c r="H94" s="57"/>
      <c r="I94" s="54"/>
      <c r="J94" s="57"/>
      <c r="K94" s="56"/>
      <c r="L94" s="56"/>
      <c r="M94" s="57"/>
      <c r="N94" s="55"/>
    </row>
    <row r="95" spans="1:14" ht="15.75">
      <c r="A95" s="7"/>
      <c r="B95" s="57"/>
      <c r="C95" s="56"/>
      <c r="D95" s="56"/>
      <c r="E95" s="56"/>
      <c r="F95" s="56"/>
      <c r="G95" s="57"/>
      <c r="H95" s="57"/>
      <c r="I95" s="54"/>
      <c r="J95" s="57"/>
      <c r="K95" s="56"/>
      <c r="L95" s="56"/>
      <c r="M95" s="57"/>
      <c r="N95" s="55"/>
    </row>
    <row r="96" spans="1:14" ht="15.75">
      <c r="A96" s="7"/>
      <c r="B96" s="57"/>
      <c r="C96" s="56"/>
      <c r="D96" s="56"/>
      <c r="E96" s="56"/>
      <c r="F96" s="56"/>
      <c r="G96" s="57"/>
      <c r="H96" s="57"/>
      <c r="I96" s="54"/>
      <c r="J96" s="57"/>
      <c r="K96" s="56"/>
      <c r="L96" s="56"/>
      <c r="M96" s="57"/>
      <c r="N96" s="55"/>
    </row>
    <row r="97" spans="1:14" ht="20.25">
      <c r="A97" s="205" t="s">
        <v>264</v>
      </c>
      <c r="B97" s="205"/>
      <c r="C97" s="205"/>
      <c r="D97" s="205"/>
      <c r="E97" s="205"/>
      <c r="F97" s="205"/>
      <c r="G97" s="205"/>
      <c r="H97" s="93"/>
      <c r="I97" s="93"/>
      <c r="J97" s="93"/>
      <c r="K97" s="93"/>
      <c r="L97" s="93"/>
      <c r="M97" s="93"/>
      <c r="N97" s="93"/>
    </row>
    <row r="98" spans="1:14" ht="20.25">
      <c r="A98" s="217" t="s">
        <v>78</v>
      </c>
      <c r="B98" s="217"/>
      <c r="C98" s="217"/>
      <c r="D98" s="217"/>
      <c r="E98" s="217"/>
      <c r="F98" s="217"/>
      <c r="G98" s="217"/>
      <c r="H98" s="196"/>
      <c r="I98" s="196"/>
      <c r="J98" s="94"/>
      <c r="K98" s="94"/>
      <c r="L98" s="94"/>
      <c r="M98" s="94"/>
      <c r="N98" s="94"/>
    </row>
    <row r="99" spans="1:14" ht="18.75">
      <c r="A99" s="40"/>
      <c r="B99" s="212" t="s">
        <v>50</v>
      </c>
      <c r="C99" s="213"/>
      <c r="D99" s="213"/>
      <c r="E99" s="213"/>
      <c r="F99" s="213"/>
      <c r="G99" s="213"/>
      <c r="H99" s="189"/>
      <c r="I99" s="189"/>
    </row>
    <row r="100" spans="1:14" ht="42.75">
      <c r="A100" s="41" t="s">
        <v>1</v>
      </c>
      <c r="B100" s="66" t="s">
        <v>2</v>
      </c>
      <c r="C100" s="67" t="s">
        <v>3</v>
      </c>
      <c r="D100" s="68" t="s">
        <v>57</v>
      </c>
      <c r="E100" s="45" t="s">
        <v>58</v>
      </c>
      <c r="F100" s="3" t="s">
        <v>274</v>
      </c>
      <c r="G100" s="43" t="s">
        <v>6</v>
      </c>
    </row>
    <row r="101" spans="1:14" ht="15.75">
      <c r="A101" s="40"/>
      <c r="B101" s="65" t="s">
        <v>32</v>
      </c>
      <c r="C101" s="65" t="s">
        <v>32</v>
      </c>
      <c r="D101" s="65" t="s">
        <v>32</v>
      </c>
      <c r="E101" s="65" t="s">
        <v>32</v>
      </c>
      <c r="F101" s="65" t="s">
        <v>32</v>
      </c>
      <c r="G101" s="65" t="s">
        <v>32</v>
      </c>
    </row>
    <row r="102" spans="1:14" ht="15.75">
      <c r="A102" s="51" t="s">
        <v>63</v>
      </c>
      <c r="B102" s="137">
        <f>2511.62+16</f>
        <v>2527.62</v>
      </c>
      <c r="C102" s="62">
        <v>9</v>
      </c>
      <c r="D102" s="62">
        <v>2</v>
      </c>
      <c r="E102" s="61">
        <v>153</v>
      </c>
      <c r="F102" s="61">
        <v>15</v>
      </c>
      <c r="G102" s="136">
        <f t="shared" ref="G102:G108" si="2">SUM(B102:F102)</f>
        <v>2706.62</v>
      </c>
    </row>
    <row r="103" spans="1:14" ht="15.75">
      <c r="A103" s="51" t="s">
        <v>64</v>
      </c>
      <c r="B103" s="137">
        <f>2511.62+16</f>
        <v>2527.62</v>
      </c>
      <c r="C103" s="62">
        <v>9</v>
      </c>
      <c r="D103" s="62">
        <v>2</v>
      </c>
      <c r="E103" s="61">
        <v>153</v>
      </c>
      <c r="F103" s="61">
        <v>15</v>
      </c>
      <c r="G103" s="136">
        <f t="shared" si="2"/>
        <v>2706.62</v>
      </c>
    </row>
    <row r="104" spans="1:14" ht="15.75">
      <c r="A104" s="51" t="s">
        <v>65</v>
      </c>
      <c r="B104" s="137">
        <f>2257.62+16</f>
        <v>2273.62</v>
      </c>
      <c r="C104" s="62">
        <v>9</v>
      </c>
      <c r="D104" s="62">
        <v>2</v>
      </c>
      <c r="E104" s="61">
        <v>153</v>
      </c>
      <c r="F104" s="61">
        <v>15</v>
      </c>
      <c r="G104" s="136">
        <f t="shared" si="2"/>
        <v>2452.62</v>
      </c>
    </row>
    <row r="105" spans="1:14" ht="15.75">
      <c r="A105" s="51" t="s">
        <v>66</v>
      </c>
      <c r="B105" s="135">
        <f>2511.62+16</f>
        <v>2527.62</v>
      </c>
      <c r="C105" s="62">
        <v>9</v>
      </c>
      <c r="D105" s="62">
        <v>2</v>
      </c>
      <c r="E105" s="47">
        <v>153</v>
      </c>
      <c r="F105" s="61">
        <v>15</v>
      </c>
      <c r="G105" s="136">
        <f t="shared" si="2"/>
        <v>2706.62</v>
      </c>
    </row>
    <row r="106" spans="1:14" ht="15.75">
      <c r="A106" s="51" t="s">
        <v>67</v>
      </c>
      <c r="B106" s="135">
        <f>2257.62+16</f>
        <v>2273.62</v>
      </c>
      <c r="C106" s="62">
        <v>9</v>
      </c>
      <c r="D106" s="62">
        <v>2</v>
      </c>
      <c r="E106" s="47">
        <v>153</v>
      </c>
      <c r="F106" s="61">
        <v>15</v>
      </c>
      <c r="G106" s="136">
        <f t="shared" si="2"/>
        <v>2452.62</v>
      </c>
    </row>
    <row r="107" spans="1:14" ht="15.75">
      <c r="A107" s="51" t="s">
        <v>68</v>
      </c>
      <c r="B107" s="135">
        <f>2257.62+16</f>
        <v>2273.62</v>
      </c>
      <c r="C107" s="62">
        <v>9</v>
      </c>
      <c r="D107" s="62">
        <v>2</v>
      </c>
      <c r="E107" s="47">
        <v>153</v>
      </c>
      <c r="F107" s="61">
        <v>15</v>
      </c>
      <c r="G107" s="136">
        <f t="shared" si="2"/>
        <v>2452.62</v>
      </c>
    </row>
    <row r="108" spans="1:14" ht="15.75">
      <c r="A108" s="51" t="s">
        <v>69</v>
      </c>
      <c r="B108" s="135">
        <f>2257.62+16</f>
        <v>2273.62</v>
      </c>
      <c r="C108" s="62">
        <v>9</v>
      </c>
      <c r="D108" s="62">
        <v>2</v>
      </c>
      <c r="E108" s="47">
        <v>153</v>
      </c>
      <c r="F108" s="61">
        <v>15</v>
      </c>
      <c r="G108" s="136">
        <f t="shared" si="2"/>
        <v>2452.62</v>
      </c>
    </row>
    <row r="109" spans="1:14" ht="15.75">
      <c r="A109" s="7"/>
      <c r="B109" s="63"/>
      <c r="C109" s="64"/>
      <c r="D109" s="64"/>
      <c r="E109" s="64"/>
      <c r="F109" s="64"/>
      <c r="G109" s="63"/>
      <c r="H109" s="63"/>
      <c r="I109" s="54"/>
      <c r="J109" s="63"/>
      <c r="K109" s="64"/>
      <c r="L109" s="64"/>
      <c r="M109" s="63"/>
      <c r="N109" s="55"/>
    </row>
    <row r="110" spans="1:14" ht="15.75">
      <c r="A110" s="7"/>
      <c r="B110" s="57"/>
      <c r="C110" s="56"/>
      <c r="D110" s="56"/>
      <c r="E110" s="56"/>
      <c r="F110" s="56"/>
      <c r="G110" s="57"/>
      <c r="H110" s="57"/>
      <c r="I110" s="54"/>
      <c r="J110" s="57"/>
      <c r="K110" s="56"/>
      <c r="L110" s="56"/>
      <c r="M110" s="57"/>
      <c r="N110" s="55"/>
    </row>
    <row r="111" spans="1:14" ht="15.75">
      <c r="A111" s="32" t="s">
        <v>30</v>
      </c>
      <c r="B111" s="57"/>
      <c r="C111" s="56"/>
      <c r="D111" s="56"/>
      <c r="E111" s="56"/>
      <c r="F111" s="56"/>
      <c r="G111" s="57"/>
      <c r="H111" s="57"/>
      <c r="I111" s="54"/>
      <c r="J111" s="57"/>
      <c r="K111" s="56"/>
      <c r="L111" s="56"/>
      <c r="M111" s="57"/>
      <c r="N111" s="55"/>
    </row>
    <row r="112" spans="1:14" ht="15.75">
      <c r="A112" t="s">
        <v>195</v>
      </c>
      <c r="B112" s="57"/>
      <c r="C112" s="56"/>
      <c r="D112" s="56"/>
      <c r="E112" s="56"/>
      <c r="F112" s="56"/>
      <c r="G112" s="57"/>
      <c r="H112" s="57"/>
      <c r="I112" s="54"/>
      <c r="J112" s="57"/>
      <c r="K112" s="56"/>
      <c r="L112" s="56"/>
      <c r="M112" s="57"/>
      <c r="N112" s="55"/>
    </row>
    <row r="113" spans="1:14" ht="15.75">
      <c r="A113" s="7"/>
      <c r="B113" s="57"/>
      <c r="C113" s="56"/>
      <c r="D113" s="56"/>
      <c r="E113" s="56"/>
      <c r="F113" s="56"/>
      <c r="G113" s="57"/>
      <c r="H113" s="57"/>
      <c r="I113" s="54"/>
      <c r="J113" s="57"/>
      <c r="K113" s="56"/>
      <c r="L113" s="56"/>
      <c r="M113" s="57"/>
      <c r="N113" s="55"/>
    </row>
    <row r="114" spans="1:14" ht="15.75">
      <c r="A114" s="7"/>
      <c r="B114" s="57"/>
      <c r="C114" s="56"/>
      <c r="D114" s="56"/>
      <c r="E114" s="56"/>
      <c r="F114" s="56"/>
      <c r="G114" s="57"/>
      <c r="H114" s="57"/>
      <c r="I114" s="54"/>
      <c r="J114" s="57"/>
      <c r="K114" s="56"/>
      <c r="L114" s="56"/>
      <c r="M114" s="57"/>
      <c r="N114" s="55"/>
    </row>
    <row r="115" spans="1:14" ht="15.75">
      <c r="A115" s="7"/>
      <c r="B115" s="57"/>
      <c r="C115" s="56"/>
      <c r="D115" s="56"/>
      <c r="E115" s="56"/>
      <c r="F115" s="56"/>
      <c r="G115" s="57"/>
      <c r="H115" s="57"/>
      <c r="I115" s="54"/>
      <c r="J115" s="57"/>
      <c r="K115" s="56"/>
      <c r="L115" s="56"/>
      <c r="M115" s="57"/>
      <c r="N115" s="55"/>
    </row>
    <row r="117" spans="1:14" ht="20.25">
      <c r="A117" s="205" t="s">
        <v>264</v>
      </c>
      <c r="B117" s="205"/>
      <c r="C117" s="205"/>
      <c r="D117" s="205"/>
      <c r="E117" s="205"/>
      <c r="F117" s="205"/>
      <c r="G117" s="205"/>
      <c r="H117" s="93"/>
      <c r="I117" s="93"/>
      <c r="J117" s="93"/>
      <c r="K117" s="93"/>
      <c r="L117" s="93"/>
      <c r="M117" s="93"/>
      <c r="N117" s="93"/>
    </row>
    <row r="118" spans="1:14" ht="20.25">
      <c r="A118" s="217" t="s">
        <v>79</v>
      </c>
      <c r="B118" s="217"/>
      <c r="C118" s="217"/>
      <c r="D118" s="217"/>
      <c r="E118" s="217"/>
      <c r="F118" s="217"/>
      <c r="G118" s="217"/>
      <c r="H118" s="196"/>
      <c r="I118" s="196"/>
      <c r="J118" s="94"/>
      <c r="K118" s="94"/>
      <c r="L118" s="94"/>
      <c r="M118" s="94"/>
      <c r="N118" s="94"/>
    </row>
    <row r="119" spans="1:14" ht="18.75">
      <c r="A119" s="40"/>
      <c r="B119" s="212" t="s">
        <v>50</v>
      </c>
      <c r="C119" s="213"/>
      <c r="D119" s="213"/>
      <c r="E119" s="213"/>
      <c r="F119" s="213"/>
      <c r="G119" s="213"/>
      <c r="H119" s="189"/>
      <c r="I119" s="189"/>
    </row>
    <row r="120" spans="1:14" ht="42.75">
      <c r="A120" s="41" t="s">
        <v>1</v>
      </c>
      <c r="B120" s="66" t="s">
        <v>2</v>
      </c>
      <c r="C120" s="67" t="s">
        <v>3</v>
      </c>
      <c r="D120" s="68" t="s">
        <v>57</v>
      </c>
      <c r="E120" s="45" t="s">
        <v>58</v>
      </c>
      <c r="F120" s="3" t="s">
        <v>274</v>
      </c>
      <c r="G120" s="43" t="s">
        <v>6</v>
      </c>
    </row>
    <row r="121" spans="1:14" ht="15.75">
      <c r="A121" s="40"/>
      <c r="B121" s="6" t="s">
        <v>32</v>
      </c>
      <c r="C121" s="6" t="s">
        <v>32</v>
      </c>
      <c r="D121" s="6" t="s">
        <v>32</v>
      </c>
      <c r="E121" s="6" t="s">
        <v>32</v>
      </c>
      <c r="F121" s="65" t="s">
        <v>32</v>
      </c>
      <c r="G121" s="65" t="s">
        <v>32</v>
      </c>
    </row>
    <row r="122" spans="1:14" ht="15.75">
      <c r="A122" s="51" t="s">
        <v>71</v>
      </c>
      <c r="B122" s="135">
        <f>2587.62+16</f>
        <v>2603.62</v>
      </c>
      <c r="C122" s="62">
        <v>9</v>
      </c>
      <c r="D122" s="62">
        <v>2</v>
      </c>
      <c r="E122" s="47">
        <v>153</v>
      </c>
      <c r="F122" s="47">
        <v>15</v>
      </c>
      <c r="G122" s="136">
        <f>SUM(B122:F122)</f>
        <v>2782.62</v>
      </c>
    </row>
    <row r="123" spans="1:14" ht="15.75">
      <c r="A123" s="51" t="s">
        <v>72</v>
      </c>
      <c r="B123" s="135">
        <f>2587.62+16</f>
        <v>2603.62</v>
      </c>
      <c r="C123" s="62">
        <v>9</v>
      </c>
      <c r="D123" s="62">
        <v>2</v>
      </c>
      <c r="E123" s="47">
        <v>153</v>
      </c>
      <c r="F123" s="47">
        <v>15</v>
      </c>
      <c r="G123" s="136">
        <f>SUM(B123:F123)</f>
        <v>2782.62</v>
      </c>
    </row>
    <row r="124" spans="1:14" ht="15.75">
      <c r="A124" s="51" t="s">
        <v>73</v>
      </c>
      <c r="B124" s="135">
        <f>1524+16</f>
        <v>1540</v>
      </c>
      <c r="C124" s="62">
        <v>9</v>
      </c>
      <c r="D124" s="62">
        <v>2</v>
      </c>
      <c r="E124" s="47">
        <f>'[1]SAS 2016-17'!J35</f>
        <v>0</v>
      </c>
      <c r="F124" s="47">
        <v>15</v>
      </c>
      <c r="G124" s="136">
        <f>SUM(B124:F124)</f>
        <v>1566</v>
      </c>
    </row>
    <row r="125" spans="1:14" ht="15.75">
      <c r="A125" s="51" t="s">
        <v>74</v>
      </c>
      <c r="B125" s="135">
        <f>1524+16</f>
        <v>1540</v>
      </c>
      <c r="C125" s="62">
        <v>9</v>
      </c>
      <c r="D125" s="62">
        <v>2</v>
      </c>
      <c r="E125" s="47">
        <f>'[1]SAS 2016-17'!J36</f>
        <v>0</v>
      </c>
      <c r="F125" s="47">
        <v>15</v>
      </c>
      <c r="G125" s="136">
        <f>SUM(B125:F125)</f>
        <v>1566</v>
      </c>
    </row>
    <row r="128" spans="1:14">
      <c r="A128" s="32" t="s">
        <v>30</v>
      </c>
      <c r="L128" s="49"/>
    </row>
    <row r="129" spans="1:14">
      <c r="A129" t="s">
        <v>195</v>
      </c>
      <c r="L129" s="49"/>
    </row>
    <row r="133" spans="1:14" ht="20.25">
      <c r="A133" s="205" t="s">
        <v>264</v>
      </c>
      <c r="B133" s="205"/>
      <c r="C133" s="205"/>
      <c r="D133" s="205"/>
      <c r="E133" s="205"/>
      <c r="F133" s="205"/>
      <c r="G133" s="205"/>
      <c r="H133" s="93"/>
      <c r="I133" s="93"/>
      <c r="J133" s="93"/>
      <c r="K133" s="93"/>
      <c r="L133" s="93"/>
      <c r="M133" s="93"/>
      <c r="N133" s="93"/>
    </row>
    <row r="134" spans="1:14" ht="20.25">
      <c r="A134" s="216" t="s">
        <v>80</v>
      </c>
      <c r="B134" s="216"/>
      <c r="C134" s="216"/>
      <c r="D134" s="216"/>
      <c r="E134" s="216"/>
      <c r="F134" s="216"/>
      <c r="G134" s="216"/>
      <c r="H134" s="94"/>
      <c r="I134" s="94"/>
      <c r="J134" s="94"/>
      <c r="K134" s="94"/>
      <c r="L134" s="94"/>
      <c r="M134" s="94"/>
      <c r="N134" s="94"/>
    </row>
    <row r="135" spans="1:14" ht="18.75">
      <c r="A135" s="40"/>
      <c r="B135" s="212" t="s">
        <v>50</v>
      </c>
      <c r="C135" s="213"/>
      <c r="D135" s="213"/>
      <c r="E135" s="213"/>
      <c r="F135" s="213"/>
      <c r="G135" s="213"/>
      <c r="H135" s="189"/>
      <c r="I135" s="189"/>
    </row>
    <row r="136" spans="1:14" ht="42.75">
      <c r="A136" s="41" t="s">
        <v>1</v>
      </c>
      <c r="B136" s="66" t="s">
        <v>2</v>
      </c>
      <c r="C136" s="67" t="s">
        <v>3</v>
      </c>
      <c r="D136" s="68" t="s">
        <v>57</v>
      </c>
      <c r="E136" s="45" t="s">
        <v>58</v>
      </c>
      <c r="F136" s="3" t="s">
        <v>274</v>
      </c>
      <c r="G136" s="43" t="s">
        <v>6</v>
      </c>
    </row>
    <row r="137" spans="1:14" ht="15.75">
      <c r="A137" s="40"/>
      <c r="B137" s="6" t="s">
        <v>32</v>
      </c>
      <c r="C137" s="6" t="s">
        <v>32</v>
      </c>
      <c r="D137" s="6" t="s">
        <v>32</v>
      </c>
      <c r="E137" s="6" t="s">
        <v>32</v>
      </c>
      <c r="F137" s="65" t="s">
        <v>32</v>
      </c>
      <c r="G137" s="65" t="s">
        <v>32</v>
      </c>
    </row>
    <row r="138" spans="1:14" ht="15.75">
      <c r="A138" s="40" t="s">
        <v>76</v>
      </c>
      <c r="B138" s="127">
        <f>3915.07+16</f>
        <v>3931.07</v>
      </c>
      <c r="C138" s="62">
        <v>9</v>
      </c>
      <c r="D138" s="62">
        <v>2</v>
      </c>
      <c r="E138" s="48">
        <v>160</v>
      </c>
      <c r="F138" s="48">
        <v>15</v>
      </c>
      <c r="G138" s="136">
        <f>SUM(B138:F138)</f>
        <v>4117.07</v>
      </c>
    </row>
    <row r="140" spans="1:14">
      <c r="A140" s="32" t="s">
        <v>30</v>
      </c>
    </row>
    <row r="141" spans="1:14">
      <c r="A141" t="s">
        <v>196</v>
      </c>
    </row>
  </sheetData>
  <mergeCells count="31">
    <mergeCell ref="J62:N62"/>
    <mergeCell ref="A46:G46"/>
    <mergeCell ref="A1:H1"/>
    <mergeCell ref="A2:H2"/>
    <mergeCell ref="A15:H15"/>
    <mergeCell ref="A16:H16"/>
    <mergeCell ref="A45:G45"/>
    <mergeCell ref="B3:H3"/>
    <mergeCell ref="B17:H17"/>
    <mergeCell ref="B30:G30"/>
    <mergeCell ref="A28:G28"/>
    <mergeCell ref="A29:G29"/>
    <mergeCell ref="A73:G73"/>
    <mergeCell ref="B74:G74"/>
    <mergeCell ref="A86:G86"/>
    <mergeCell ref="A85:G85"/>
    <mergeCell ref="B47:G47"/>
    <mergeCell ref="A60:G60"/>
    <mergeCell ref="A61:G61"/>
    <mergeCell ref="B62:G62"/>
    <mergeCell ref="A72:G72"/>
    <mergeCell ref="B87:G87"/>
    <mergeCell ref="A97:G97"/>
    <mergeCell ref="A98:G98"/>
    <mergeCell ref="B99:G99"/>
    <mergeCell ref="A117:G117"/>
    <mergeCell ref="A118:G118"/>
    <mergeCell ref="B119:G119"/>
    <mergeCell ref="B135:G135"/>
    <mergeCell ref="A133:G133"/>
    <mergeCell ref="A134:G134"/>
  </mergeCells>
  <pageMargins left="0.7" right="0.7" top="0.75" bottom="0.75" header="0.3" footer="0.3"/>
  <pageSetup orientation="landscape" r:id="rId1"/>
  <ignoredErrors>
    <ignoredError sqref="B104:B10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8"/>
  <sheetViews>
    <sheetView topLeftCell="A118" workbookViewId="0">
      <selection activeCell="B146" sqref="B146"/>
    </sheetView>
  </sheetViews>
  <sheetFormatPr defaultRowHeight="15"/>
  <cols>
    <col min="1" max="1" width="34.5703125" customWidth="1"/>
    <col min="2" max="2" width="10.140625" customWidth="1"/>
    <col min="3" max="3" width="8.42578125" customWidth="1"/>
    <col min="4" max="4" width="6.7109375" customWidth="1"/>
    <col min="5" max="5" width="11.42578125" customWidth="1"/>
    <col min="6" max="6" width="11.7109375" customWidth="1"/>
    <col min="7" max="8" width="10" customWidth="1"/>
    <col min="9" max="9" width="9.85546875" customWidth="1"/>
    <col min="10" max="10" width="9.28515625" customWidth="1"/>
    <col min="11" max="11" width="7.28515625" customWidth="1"/>
    <col min="12" max="12" width="7.7109375" customWidth="1"/>
    <col min="13" max="13" width="9.28515625" customWidth="1"/>
    <col min="14" max="14" width="9.5703125" customWidth="1"/>
    <col min="15" max="15" width="9.5703125" bestFit="1" customWidth="1"/>
    <col min="17" max="17" width="9.5703125" bestFit="1" customWidth="1"/>
  </cols>
  <sheetData>
    <row r="1" spans="1:14" ht="20.25">
      <c r="A1" s="203" t="s">
        <v>265</v>
      </c>
      <c r="B1" s="203"/>
      <c r="C1" s="203"/>
      <c r="D1" s="203"/>
      <c r="E1" s="203"/>
      <c r="F1" s="203"/>
      <c r="G1" s="203"/>
      <c r="H1" s="203"/>
      <c r="I1" s="93"/>
      <c r="J1" s="93"/>
      <c r="K1" s="93"/>
      <c r="L1" s="93"/>
      <c r="M1" s="93"/>
      <c r="N1" s="93"/>
    </row>
    <row r="2" spans="1:14" ht="20.25">
      <c r="A2" s="220" t="s">
        <v>55</v>
      </c>
      <c r="B2" s="220"/>
      <c r="C2" s="220"/>
      <c r="D2" s="220"/>
      <c r="E2" s="220"/>
      <c r="F2" s="220"/>
      <c r="G2" s="220"/>
      <c r="H2" s="220"/>
      <c r="I2" s="196"/>
      <c r="J2" s="196"/>
      <c r="K2" s="94"/>
      <c r="L2" s="94"/>
      <c r="M2" s="94"/>
      <c r="N2" s="94"/>
    </row>
    <row r="3" spans="1:14" ht="18.75">
      <c r="A3" s="40"/>
      <c r="B3" s="221" t="s">
        <v>121</v>
      </c>
      <c r="C3" s="222"/>
      <c r="D3" s="222"/>
      <c r="E3" s="222"/>
      <c r="F3" s="222"/>
      <c r="G3" s="222"/>
      <c r="H3" s="222"/>
      <c r="I3" s="189"/>
      <c r="J3" s="189"/>
    </row>
    <row r="4" spans="1:14" ht="36.75">
      <c r="A4" s="41" t="s">
        <v>1</v>
      </c>
      <c r="B4" s="42" t="s">
        <v>2</v>
      </c>
      <c r="C4" s="43" t="s">
        <v>3</v>
      </c>
      <c r="D4" s="44" t="s">
        <v>57</v>
      </c>
      <c r="E4" s="96" t="s">
        <v>201</v>
      </c>
      <c r="F4" s="3" t="s">
        <v>274</v>
      </c>
      <c r="G4" s="45" t="s">
        <v>58</v>
      </c>
      <c r="H4" s="43" t="s">
        <v>6</v>
      </c>
    </row>
    <row r="5" spans="1:14" ht="15.75">
      <c r="A5" s="40"/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6" t="s">
        <v>8</v>
      </c>
    </row>
    <row r="6" spans="1:14">
      <c r="A6" s="46" t="s">
        <v>228</v>
      </c>
      <c r="B6" s="177">
        <f>(2980.72*1.05)+100</f>
        <v>3229.7559999999999</v>
      </c>
      <c r="C6" s="48">
        <v>80</v>
      </c>
      <c r="D6" s="48">
        <v>20</v>
      </c>
      <c r="E6" s="48">
        <v>200</v>
      </c>
      <c r="F6" s="48">
        <v>100</v>
      </c>
      <c r="G6" s="47">
        <v>2000</v>
      </c>
      <c r="H6" s="136">
        <f>SUM(B6:G6)</f>
        <v>5629.7559999999994</v>
      </c>
    </row>
    <row r="7" spans="1:14">
      <c r="A7" s="46" t="s">
        <v>60</v>
      </c>
      <c r="B7" s="177">
        <f>(2980.72*1.05)+100</f>
        <v>3229.7559999999999</v>
      </c>
      <c r="C7" s="48">
        <v>80</v>
      </c>
      <c r="D7" s="48">
        <v>20</v>
      </c>
      <c r="E7" s="48">
        <v>0</v>
      </c>
      <c r="F7" s="48">
        <v>100</v>
      </c>
      <c r="G7" s="47">
        <v>2000</v>
      </c>
      <c r="H7" s="136">
        <f>SUM(B7:G7)</f>
        <v>5429.7559999999994</v>
      </c>
    </row>
    <row r="8" spans="1:14">
      <c r="A8" s="46" t="s">
        <v>61</v>
      </c>
      <c r="B8" s="177">
        <f>(4596.16*1.05)+100</f>
        <v>4925.9679999999998</v>
      </c>
      <c r="C8" s="48">
        <v>80</v>
      </c>
      <c r="D8" s="48">
        <v>20</v>
      </c>
      <c r="E8" s="47">
        <v>0</v>
      </c>
      <c r="F8" s="48">
        <v>100</v>
      </c>
      <c r="G8" s="47">
        <v>2000</v>
      </c>
      <c r="H8" s="136">
        <f>SUM(B8:G8)</f>
        <v>7125.9679999999998</v>
      </c>
    </row>
    <row r="10" spans="1:14">
      <c r="A10" s="21" t="s">
        <v>30</v>
      </c>
      <c r="L10" s="49"/>
    </row>
    <row r="11" spans="1:14">
      <c r="A11" t="s">
        <v>278</v>
      </c>
      <c r="L11" s="49"/>
    </row>
    <row r="12" spans="1:14">
      <c r="A12" t="s">
        <v>277</v>
      </c>
      <c r="L12" s="49"/>
    </row>
    <row r="13" spans="1:14">
      <c r="L13" s="49"/>
    </row>
    <row r="14" spans="1:14" ht="20.25">
      <c r="A14" s="203" t="s">
        <v>265</v>
      </c>
      <c r="B14" s="203"/>
      <c r="C14" s="203"/>
      <c r="D14" s="203"/>
      <c r="E14" s="203"/>
      <c r="F14" s="203"/>
      <c r="G14" s="203"/>
      <c r="H14" s="203"/>
      <c r="I14" s="203"/>
      <c r="J14" s="203"/>
      <c r="K14" s="93"/>
      <c r="L14" s="93"/>
      <c r="M14" s="93"/>
      <c r="N14" s="93"/>
    </row>
    <row r="15" spans="1:14" ht="20.25">
      <c r="A15" s="219" t="s">
        <v>269</v>
      </c>
      <c r="B15" s="219"/>
      <c r="C15" s="219"/>
      <c r="D15" s="219"/>
      <c r="E15" s="219"/>
      <c r="F15" s="219"/>
      <c r="G15" s="219"/>
      <c r="H15" s="219"/>
      <c r="I15" s="219"/>
      <c r="J15" s="219"/>
      <c r="K15" s="94"/>
      <c r="L15" s="94"/>
      <c r="M15" s="94"/>
      <c r="N15" s="94"/>
    </row>
    <row r="16" spans="1:14" ht="18.75">
      <c r="A16" s="40"/>
      <c r="B16" s="221" t="s">
        <v>121</v>
      </c>
      <c r="C16" s="222"/>
      <c r="D16" s="222"/>
      <c r="E16" s="222"/>
      <c r="F16" s="222"/>
      <c r="G16" s="222"/>
      <c r="H16" s="222"/>
      <c r="I16" s="222"/>
      <c r="J16" s="222"/>
    </row>
    <row r="17" spans="1:12" ht="36.75">
      <c r="A17" s="41" t="s">
        <v>1</v>
      </c>
      <c r="B17" s="42" t="s">
        <v>2</v>
      </c>
      <c r="C17" s="43" t="s">
        <v>3</v>
      </c>
      <c r="D17" s="44" t="s">
        <v>57</v>
      </c>
      <c r="E17" s="96" t="s">
        <v>201</v>
      </c>
      <c r="F17" s="3" t="s">
        <v>274</v>
      </c>
      <c r="G17" s="45" t="s">
        <v>58</v>
      </c>
      <c r="H17" s="43" t="s">
        <v>6</v>
      </c>
    </row>
    <row r="18" spans="1:12" ht="15.75">
      <c r="A18" s="40"/>
      <c r="B18" s="6" t="s">
        <v>8</v>
      </c>
      <c r="C18" s="6" t="s">
        <v>8</v>
      </c>
      <c r="D18" s="6" t="s">
        <v>8</v>
      </c>
      <c r="E18" s="6" t="s">
        <v>8</v>
      </c>
      <c r="F18" s="6" t="s">
        <v>8</v>
      </c>
      <c r="G18" s="6" t="s">
        <v>8</v>
      </c>
      <c r="H18" s="6" t="s">
        <v>8</v>
      </c>
    </row>
    <row r="19" spans="1:12">
      <c r="A19" s="46" t="s">
        <v>59</v>
      </c>
      <c r="B19" s="177">
        <f>(3641.1*1.05)+100</f>
        <v>3923.1550000000002</v>
      </c>
      <c r="C19" s="48">
        <v>80</v>
      </c>
      <c r="D19" s="48">
        <v>20</v>
      </c>
      <c r="E19" s="48">
        <v>0</v>
      </c>
      <c r="F19" s="48">
        <v>100</v>
      </c>
      <c r="G19" s="47">
        <v>2000</v>
      </c>
      <c r="H19" s="136">
        <f>SUM(B19:G19)</f>
        <v>6123.1550000000007</v>
      </c>
    </row>
    <row r="20" spans="1:12">
      <c r="A20" s="46" t="s">
        <v>229</v>
      </c>
      <c r="B20" s="177">
        <f>(2713.6*1.1)+100</f>
        <v>3084.96</v>
      </c>
      <c r="C20" s="62">
        <v>80</v>
      </c>
      <c r="D20" s="62">
        <v>20</v>
      </c>
      <c r="E20" s="62">
        <v>200</v>
      </c>
      <c r="F20" s="62">
        <v>100</v>
      </c>
      <c r="G20" s="61">
        <v>0</v>
      </c>
      <c r="H20" s="136">
        <f>SUM(B20:G20)</f>
        <v>3484.96</v>
      </c>
    </row>
    <row r="21" spans="1:12" ht="30">
      <c r="A21" s="170" t="s">
        <v>291</v>
      </c>
      <c r="B21" s="177">
        <f>(3000*1.1)+100</f>
        <v>3400.0000000000005</v>
      </c>
      <c r="C21" s="62">
        <v>80</v>
      </c>
      <c r="D21" s="62">
        <v>20</v>
      </c>
      <c r="E21" s="62">
        <v>200</v>
      </c>
      <c r="F21" s="62">
        <v>100</v>
      </c>
      <c r="G21" s="137">
        <f>1250*1.05</f>
        <v>1312.5</v>
      </c>
      <c r="H21" s="136">
        <f>SUM(B21:G21)</f>
        <v>5112.5</v>
      </c>
    </row>
    <row r="22" spans="1:12">
      <c r="A22" s="180"/>
      <c r="B22" s="181"/>
      <c r="C22" s="53"/>
      <c r="D22" s="53"/>
      <c r="E22" s="53"/>
      <c r="F22" s="53"/>
      <c r="G22" s="53"/>
      <c r="H22" s="53"/>
      <c r="I22" s="172"/>
      <c r="J22" s="171"/>
    </row>
    <row r="23" spans="1:12">
      <c r="A23" s="180"/>
      <c r="B23" s="181"/>
      <c r="C23" s="53"/>
      <c r="D23" s="53"/>
      <c r="E23" s="53"/>
      <c r="F23" s="53"/>
      <c r="G23" s="53"/>
      <c r="H23" s="53"/>
      <c r="I23" s="172"/>
      <c r="J23" s="171"/>
    </row>
    <row r="24" spans="1:12">
      <c r="A24" s="21" t="s">
        <v>30</v>
      </c>
      <c r="L24" s="49"/>
    </row>
    <row r="25" spans="1:12">
      <c r="A25" t="s">
        <v>279</v>
      </c>
      <c r="L25" s="49"/>
    </row>
    <row r="26" spans="1:12">
      <c r="A26" t="s">
        <v>292</v>
      </c>
      <c r="L26" s="49"/>
    </row>
    <row r="27" spans="1:12">
      <c r="A27" t="s">
        <v>293</v>
      </c>
      <c r="L27" s="49"/>
    </row>
    <row r="28" spans="1:12">
      <c r="L28" s="49"/>
    </row>
    <row r="29" spans="1:12">
      <c r="L29" s="49"/>
    </row>
    <row r="30" spans="1:12">
      <c r="L30" s="49"/>
    </row>
    <row r="31" spans="1:12">
      <c r="L31" s="49"/>
    </row>
    <row r="32" spans="1:12">
      <c r="L32" s="49"/>
    </row>
    <row r="33" spans="1:15" ht="20.25">
      <c r="A33" s="203" t="s">
        <v>265</v>
      </c>
      <c r="B33" s="203"/>
      <c r="C33" s="203"/>
      <c r="D33" s="203"/>
      <c r="E33" s="203"/>
      <c r="F33" s="203"/>
      <c r="G33" s="203"/>
      <c r="H33" s="93"/>
      <c r="I33" s="93"/>
      <c r="J33" s="93"/>
      <c r="K33" s="93"/>
      <c r="L33" s="93"/>
      <c r="M33" s="93"/>
      <c r="N33" s="93"/>
    </row>
    <row r="34" spans="1:15" ht="20.25">
      <c r="A34" s="219" t="s">
        <v>62</v>
      </c>
      <c r="B34" s="219"/>
      <c r="C34" s="219"/>
      <c r="D34" s="219"/>
      <c r="E34" s="219"/>
      <c r="F34" s="219"/>
      <c r="G34" s="219"/>
      <c r="H34" s="194"/>
      <c r="I34" s="194"/>
      <c r="J34" s="94"/>
      <c r="K34" s="94"/>
      <c r="L34" s="94"/>
      <c r="M34" s="94"/>
      <c r="N34" s="94"/>
    </row>
    <row r="35" spans="1:15" ht="18.75">
      <c r="A35" s="40"/>
      <c r="B35" s="212" t="s">
        <v>121</v>
      </c>
      <c r="C35" s="213"/>
      <c r="D35" s="213"/>
      <c r="E35" s="213"/>
      <c r="F35" s="213"/>
      <c r="G35" s="213"/>
      <c r="H35" s="189"/>
      <c r="I35" s="189"/>
    </row>
    <row r="36" spans="1:15" ht="36.75">
      <c r="A36" s="41" t="s">
        <v>1</v>
      </c>
      <c r="B36" s="42" t="s">
        <v>2</v>
      </c>
      <c r="C36" s="50" t="s">
        <v>3</v>
      </c>
      <c r="D36" s="44" t="s">
        <v>57</v>
      </c>
      <c r="E36" s="45" t="s">
        <v>58</v>
      </c>
      <c r="F36" s="3" t="s">
        <v>274</v>
      </c>
      <c r="G36" s="43" t="s">
        <v>6</v>
      </c>
    </row>
    <row r="37" spans="1:15" ht="15.75">
      <c r="A37" s="40"/>
      <c r="B37" s="6" t="s">
        <v>8</v>
      </c>
      <c r="C37" s="6" t="s">
        <v>8</v>
      </c>
      <c r="D37" s="6" t="s">
        <v>8</v>
      </c>
      <c r="E37" s="6" t="s">
        <v>8</v>
      </c>
      <c r="F37" s="6" t="s">
        <v>8</v>
      </c>
      <c r="G37" s="6" t="s">
        <v>8</v>
      </c>
    </row>
    <row r="38" spans="1:15" ht="15.75">
      <c r="A38" s="51" t="s">
        <v>63</v>
      </c>
      <c r="B38" s="135">
        <f>(3964.665*1.05)+100</f>
        <v>4262.8982500000002</v>
      </c>
      <c r="C38" s="48">
        <v>80</v>
      </c>
      <c r="D38" s="48">
        <v>20</v>
      </c>
      <c r="E38" s="47">
        <f>800*1.05</f>
        <v>840</v>
      </c>
      <c r="F38" s="47">
        <v>100</v>
      </c>
      <c r="G38" s="136">
        <f t="shared" ref="G38:G44" si="0">SUM(B38:F38)</f>
        <v>5302.8982500000002</v>
      </c>
      <c r="M38" s="64"/>
      <c r="N38" s="115"/>
      <c r="O38" s="52"/>
    </row>
    <row r="39" spans="1:15" ht="15.75">
      <c r="A39" s="51" t="s">
        <v>64</v>
      </c>
      <c r="B39" s="135">
        <f>(3243.865*1.05)+100</f>
        <v>3506.05825</v>
      </c>
      <c r="C39" s="48">
        <v>80</v>
      </c>
      <c r="D39" s="48">
        <v>20</v>
      </c>
      <c r="E39" s="47">
        <f t="shared" ref="E39:E44" si="1">800*1.05</f>
        <v>840</v>
      </c>
      <c r="F39" s="47">
        <v>100</v>
      </c>
      <c r="G39" s="136">
        <f t="shared" si="0"/>
        <v>4546.05825</v>
      </c>
      <c r="M39" s="64"/>
      <c r="N39" s="115"/>
      <c r="O39" s="52"/>
    </row>
    <row r="40" spans="1:15" ht="15.75">
      <c r="A40" s="51" t="s">
        <v>65</v>
      </c>
      <c r="B40" s="135">
        <f>(3243.865*1.05)+100</f>
        <v>3506.05825</v>
      </c>
      <c r="C40" s="48">
        <v>80</v>
      </c>
      <c r="D40" s="48">
        <v>20</v>
      </c>
      <c r="E40" s="47">
        <f t="shared" si="1"/>
        <v>840</v>
      </c>
      <c r="F40" s="47">
        <v>100</v>
      </c>
      <c r="G40" s="136">
        <f t="shared" si="0"/>
        <v>4546.05825</v>
      </c>
      <c r="M40" s="64"/>
      <c r="N40" s="115"/>
      <c r="O40" s="52"/>
    </row>
    <row r="41" spans="1:15" ht="15.75">
      <c r="A41" s="51" t="s">
        <v>66</v>
      </c>
      <c r="B41" s="135">
        <f>(3964.665*1.05)+100</f>
        <v>4262.8982500000002</v>
      </c>
      <c r="C41" s="48">
        <v>80</v>
      </c>
      <c r="D41" s="48">
        <v>20</v>
      </c>
      <c r="E41" s="47">
        <f t="shared" si="1"/>
        <v>840</v>
      </c>
      <c r="F41" s="47">
        <v>100</v>
      </c>
      <c r="G41" s="136">
        <f t="shared" si="0"/>
        <v>5302.8982500000002</v>
      </c>
      <c r="M41" s="64"/>
      <c r="N41" s="115"/>
      <c r="O41" s="52"/>
    </row>
    <row r="42" spans="1:15" ht="15.75">
      <c r="A42" s="51" t="s">
        <v>67</v>
      </c>
      <c r="B42" s="135">
        <f>(3243.865*1.05)+100</f>
        <v>3506.05825</v>
      </c>
      <c r="C42" s="48">
        <v>80</v>
      </c>
      <c r="D42" s="48">
        <v>20</v>
      </c>
      <c r="E42" s="47">
        <f t="shared" si="1"/>
        <v>840</v>
      </c>
      <c r="F42" s="47">
        <v>100</v>
      </c>
      <c r="G42" s="136">
        <f t="shared" si="0"/>
        <v>4546.05825</v>
      </c>
      <c r="M42" s="64"/>
      <c r="N42" s="115"/>
      <c r="O42" s="52"/>
    </row>
    <row r="43" spans="1:15" ht="15.75">
      <c r="A43" s="51" t="s">
        <v>68</v>
      </c>
      <c r="B43" s="135">
        <f>(3243.865*1.05)+100</f>
        <v>3506.05825</v>
      </c>
      <c r="C43" s="48">
        <v>80</v>
      </c>
      <c r="D43" s="48">
        <v>20</v>
      </c>
      <c r="E43" s="47">
        <f t="shared" si="1"/>
        <v>840</v>
      </c>
      <c r="F43" s="47">
        <v>100</v>
      </c>
      <c r="G43" s="136">
        <f t="shared" si="0"/>
        <v>4546.05825</v>
      </c>
      <c r="M43" s="64"/>
      <c r="N43" s="115"/>
      <c r="O43" s="52"/>
    </row>
    <row r="44" spans="1:15" ht="15.75">
      <c r="A44" s="51" t="s">
        <v>69</v>
      </c>
      <c r="B44" s="135">
        <f>(3243.865*1.05)+100</f>
        <v>3506.05825</v>
      </c>
      <c r="C44" s="48">
        <v>80</v>
      </c>
      <c r="D44" s="48">
        <v>20</v>
      </c>
      <c r="E44" s="47">
        <f t="shared" si="1"/>
        <v>840</v>
      </c>
      <c r="F44" s="47">
        <v>100</v>
      </c>
      <c r="G44" s="136">
        <f t="shared" si="0"/>
        <v>4546.05825</v>
      </c>
      <c r="M44" s="64"/>
      <c r="N44" s="115"/>
      <c r="O44" s="52"/>
    </row>
    <row r="45" spans="1:15" ht="15.75">
      <c r="A45" s="7"/>
      <c r="B45" s="52"/>
      <c r="C45" s="53"/>
      <c r="D45" s="53"/>
      <c r="E45" s="53"/>
      <c r="G45" s="52"/>
      <c r="H45" s="52"/>
      <c r="I45" s="54"/>
      <c r="J45" s="52"/>
      <c r="K45" s="53"/>
      <c r="L45" s="53"/>
      <c r="M45" s="52"/>
      <c r="N45" s="55"/>
    </row>
    <row r="46" spans="1:15" ht="15.75">
      <c r="A46" s="21" t="s">
        <v>30</v>
      </c>
      <c r="K46" s="56"/>
      <c r="L46" s="56"/>
      <c r="M46" s="57"/>
      <c r="N46" s="55"/>
    </row>
    <row r="47" spans="1:15">
      <c r="A47" t="s">
        <v>261</v>
      </c>
      <c r="L47" s="49"/>
    </row>
    <row r="48" spans="1:15">
      <c r="L48" s="49"/>
    </row>
    <row r="49" spans="1:14">
      <c r="L49" s="49"/>
    </row>
    <row r="50" spans="1:14">
      <c r="L50" s="49"/>
    </row>
    <row r="51" spans="1:14" ht="20.25">
      <c r="A51" s="203" t="s">
        <v>265</v>
      </c>
      <c r="B51" s="203"/>
      <c r="C51" s="203"/>
      <c r="D51" s="203"/>
      <c r="E51" s="203"/>
      <c r="F51" s="203"/>
      <c r="G51" s="203"/>
      <c r="H51" s="93"/>
      <c r="I51" s="93"/>
      <c r="J51" s="93"/>
      <c r="K51" s="93"/>
      <c r="L51" s="93"/>
      <c r="M51" s="93"/>
      <c r="N51" s="93"/>
    </row>
    <row r="52" spans="1:14" ht="20.25">
      <c r="A52" s="217" t="s">
        <v>70</v>
      </c>
      <c r="B52" s="217"/>
      <c r="C52" s="217"/>
      <c r="D52" s="217"/>
      <c r="E52" s="217"/>
      <c r="F52" s="217"/>
      <c r="G52" s="217"/>
      <c r="H52" s="196"/>
      <c r="I52" s="196"/>
      <c r="J52" s="94"/>
      <c r="K52" s="94"/>
      <c r="L52" s="94"/>
      <c r="M52" s="94"/>
      <c r="N52" s="94"/>
    </row>
    <row r="53" spans="1:14" ht="18.75">
      <c r="A53" s="40"/>
      <c r="B53" s="212" t="s">
        <v>121</v>
      </c>
      <c r="C53" s="213"/>
      <c r="D53" s="213"/>
      <c r="E53" s="213"/>
      <c r="F53" s="213"/>
      <c r="G53" s="213"/>
      <c r="H53" s="189"/>
      <c r="I53" s="189"/>
    </row>
    <row r="54" spans="1:14" ht="36.75">
      <c r="A54" s="41" t="s">
        <v>1</v>
      </c>
      <c r="B54" s="42" t="s">
        <v>2</v>
      </c>
      <c r="C54" s="43" t="s">
        <v>3</v>
      </c>
      <c r="D54" s="44" t="s">
        <v>57</v>
      </c>
      <c r="E54" s="45" t="s">
        <v>58</v>
      </c>
      <c r="F54" s="3" t="s">
        <v>274</v>
      </c>
      <c r="G54" s="43" t="s">
        <v>6</v>
      </c>
    </row>
    <row r="55" spans="1:14" ht="15.75">
      <c r="A55" s="40"/>
      <c r="B55" s="6" t="s">
        <v>8</v>
      </c>
      <c r="C55" s="6" t="s">
        <v>8</v>
      </c>
      <c r="D55" s="6" t="s">
        <v>8</v>
      </c>
      <c r="E55" s="6" t="s">
        <v>8</v>
      </c>
      <c r="F55" s="6" t="s">
        <v>8</v>
      </c>
      <c r="G55" s="6" t="s">
        <v>8</v>
      </c>
    </row>
    <row r="56" spans="1:14" ht="15.75">
      <c r="A56" s="51" t="s">
        <v>71</v>
      </c>
      <c r="B56" s="135">
        <f>(4097*1.05)+100</f>
        <v>4401.8500000000004</v>
      </c>
      <c r="C56" s="48">
        <v>80</v>
      </c>
      <c r="D56" s="48">
        <v>20</v>
      </c>
      <c r="E56" s="47">
        <v>600</v>
      </c>
      <c r="F56" s="47">
        <v>100</v>
      </c>
      <c r="G56" s="138">
        <f>SUM(B56:F56)</f>
        <v>5201.8500000000004</v>
      </c>
    </row>
    <row r="57" spans="1:14" ht="15.75">
      <c r="A57" s="51" t="s">
        <v>73</v>
      </c>
      <c r="B57" s="135">
        <f>(3074*1.05)+100</f>
        <v>3327.7000000000003</v>
      </c>
      <c r="C57" s="48">
        <v>80</v>
      </c>
      <c r="D57" s="48">
        <v>20</v>
      </c>
      <c r="E57" s="48">
        <v>0</v>
      </c>
      <c r="F57" s="48">
        <v>100</v>
      </c>
      <c r="G57" s="136">
        <f>SUM(B57:F57)</f>
        <v>3527.7000000000003</v>
      </c>
    </row>
    <row r="58" spans="1:14" ht="15.75">
      <c r="A58" s="51" t="s">
        <v>74</v>
      </c>
      <c r="B58" s="135">
        <f>(3074*1.05)+100</f>
        <v>3327.7000000000003</v>
      </c>
      <c r="C58" s="48">
        <v>80</v>
      </c>
      <c r="D58" s="48">
        <v>20</v>
      </c>
      <c r="E58" s="48">
        <v>0</v>
      </c>
      <c r="F58" s="48">
        <v>100</v>
      </c>
      <c r="G58" s="136">
        <f>SUM(B58:F58)</f>
        <v>3527.7000000000003</v>
      </c>
    </row>
    <row r="59" spans="1:14" ht="15.75">
      <c r="A59" s="7"/>
      <c r="B59" s="57"/>
      <c r="C59" s="56"/>
      <c r="D59" s="56"/>
      <c r="E59" s="56"/>
      <c r="F59" s="56"/>
      <c r="G59" s="57"/>
      <c r="H59" s="57"/>
      <c r="I59" s="54"/>
      <c r="J59" s="57"/>
      <c r="K59" s="56"/>
      <c r="L59" s="56"/>
      <c r="M59" s="56"/>
      <c r="N59" s="55"/>
    </row>
    <row r="60" spans="1:14" ht="15.75">
      <c r="A60" s="21" t="s">
        <v>30</v>
      </c>
      <c r="B60" s="57"/>
      <c r="C60" s="56"/>
      <c r="D60" s="56"/>
      <c r="E60" s="56"/>
      <c r="F60" s="56"/>
      <c r="G60" s="57"/>
      <c r="H60" s="57"/>
      <c r="I60" s="54"/>
      <c r="J60" s="57"/>
      <c r="K60" s="56"/>
      <c r="L60" s="56"/>
      <c r="M60" s="56"/>
      <c r="N60" s="55"/>
    </row>
    <row r="61" spans="1:14" ht="15.75">
      <c r="A61" t="s">
        <v>262</v>
      </c>
      <c r="B61" s="57"/>
      <c r="C61" s="56"/>
      <c r="D61" s="56"/>
      <c r="E61" s="56"/>
      <c r="F61" s="56"/>
      <c r="G61" s="57"/>
      <c r="H61" s="57"/>
      <c r="I61" s="54"/>
      <c r="J61" s="57"/>
      <c r="K61" s="56"/>
      <c r="L61" s="56"/>
      <c r="M61" s="56"/>
      <c r="N61" s="55"/>
    </row>
    <row r="62" spans="1:14" ht="15.75">
      <c r="B62" s="57"/>
      <c r="C62" s="56"/>
      <c r="D62" s="56"/>
      <c r="E62" s="56"/>
      <c r="F62" s="56"/>
      <c r="G62" s="57"/>
      <c r="H62" s="57"/>
      <c r="I62" s="54"/>
      <c r="J62" s="57"/>
      <c r="K62" s="56"/>
      <c r="L62" s="56"/>
      <c r="M62" s="56"/>
      <c r="N62" s="55"/>
    </row>
    <row r="63" spans="1:14" ht="15.75">
      <c r="B63" s="57"/>
      <c r="C63" s="56"/>
      <c r="D63" s="56"/>
      <c r="E63" s="56"/>
      <c r="F63" s="56"/>
      <c r="G63" s="57"/>
      <c r="H63" s="57"/>
      <c r="I63" s="54"/>
      <c r="J63" s="57"/>
      <c r="K63" s="56"/>
      <c r="L63" s="56"/>
      <c r="M63" s="56"/>
      <c r="N63" s="55"/>
    </row>
    <row r="64" spans="1:14" ht="15.75">
      <c r="B64" s="57"/>
      <c r="C64" s="56"/>
      <c r="D64" s="56"/>
      <c r="E64" s="56"/>
      <c r="F64" s="56"/>
      <c r="G64" s="57"/>
      <c r="H64" s="57"/>
      <c r="I64" s="54"/>
      <c r="J64" s="57"/>
      <c r="K64" s="56"/>
      <c r="L64" s="56"/>
      <c r="M64" s="56"/>
      <c r="N64" s="55"/>
    </row>
    <row r="65" spans="1:14" ht="15.75">
      <c r="B65" s="57"/>
      <c r="C65" s="56"/>
      <c r="D65" s="56"/>
      <c r="E65" s="56"/>
      <c r="F65" s="56"/>
      <c r="G65" s="57"/>
      <c r="H65" s="57"/>
      <c r="I65" s="54"/>
      <c r="J65" s="57"/>
      <c r="K65" s="56"/>
      <c r="L65" s="56"/>
      <c r="M65" s="56"/>
      <c r="N65" s="55"/>
    </row>
    <row r="66" spans="1:14" ht="15.75">
      <c r="B66" s="57"/>
      <c r="C66" s="56"/>
      <c r="D66" s="56"/>
      <c r="E66" s="56"/>
      <c r="F66" s="56"/>
      <c r="G66" s="57"/>
      <c r="H66" s="57"/>
      <c r="I66" s="54"/>
      <c r="J66" s="57"/>
      <c r="K66" s="56"/>
      <c r="L66" s="56"/>
      <c r="M66" s="56"/>
      <c r="N66" s="55"/>
    </row>
    <row r="67" spans="1:14" ht="20.25">
      <c r="A67" s="203" t="s">
        <v>265</v>
      </c>
      <c r="B67" s="203"/>
      <c r="C67" s="203"/>
      <c r="D67" s="203"/>
      <c r="E67" s="203"/>
      <c r="F67" s="203"/>
      <c r="G67" s="203"/>
      <c r="H67" s="93"/>
      <c r="I67" s="93"/>
      <c r="J67" s="93"/>
      <c r="K67" s="93"/>
      <c r="L67" s="93"/>
      <c r="M67" s="93"/>
      <c r="N67" s="93"/>
    </row>
    <row r="68" spans="1:14" ht="20.25">
      <c r="A68" s="216" t="s">
        <v>75</v>
      </c>
      <c r="B68" s="216"/>
      <c r="C68" s="216"/>
      <c r="D68" s="216"/>
      <c r="E68" s="216"/>
      <c r="F68" s="216"/>
      <c r="G68" s="216"/>
      <c r="H68" s="94"/>
      <c r="I68" s="94"/>
      <c r="J68" s="94"/>
      <c r="K68" s="94"/>
      <c r="L68" s="94"/>
      <c r="M68" s="94"/>
      <c r="N68" s="94"/>
    </row>
    <row r="69" spans="1:14" ht="18.75">
      <c r="A69" s="40"/>
      <c r="B69" s="212" t="s">
        <v>121</v>
      </c>
      <c r="C69" s="213"/>
      <c r="D69" s="213"/>
      <c r="E69" s="213"/>
      <c r="F69" s="213"/>
      <c r="G69" s="213"/>
      <c r="H69" s="189"/>
      <c r="I69" s="189"/>
    </row>
    <row r="70" spans="1:14" ht="36.75">
      <c r="A70" s="41" t="s">
        <v>1</v>
      </c>
      <c r="B70" s="42" t="s">
        <v>2</v>
      </c>
      <c r="C70" s="43" t="s">
        <v>3</v>
      </c>
      <c r="D70" s="44" t="s">
        <v>57</v>
      </c>
      <c r="E70" s="45" t="s">
        <v>58</v>
      </c>
      <c r="F70" s="3" t="s">
        <v>274</v>
      </c>
      <c r="G70" s="43" t="s">
        <v>6</v>
      </c>
    </row>
    <row r="71" spans="1:14" ht="15.75">
      <c r="A71" s="40"/>
      <c r="B71" s="6" t="s">
        <v>8</v>
      </c>
      <c r="C71" s="6" t="s">
        <v>8</v>
      </c>
      <c r="D71" s="6" t="s">
        <v>8</v>
      </c>
      <c r="E71" s="6" t="s">
        <v>8</v>
      </c>
      <c r="F71" s="6" t="s">
        <v>8</v>
      </c>
      <c r="G71" s="6" t="s">
        <v>8</v>
      </c>
    </row>
    <row r="72" spans="1:14" ht="15.75">
      <c r="A72" s="51" t="s">
        <v>76</v>
      </c>
      <c r="B72" s="137">
        <f>(5046*1.05)+100</f>
        <v>5398.3</v>
      </c>
      <c r="C72" s="48">
        <v>80</v>
      </c>
      <c r="D72" s="48">
        <v>20</v>
      </c>
      <c r="E72" s="61">
        <v>1500</v>
      </c>
      <c r="F72" s="61">
        <v>100</v>
      </c>
      <c r="G72" s="136">
        <f>SUM(B72:F72)</f>
        <v>7098.3</v>
      </c>
      <c r="K72" s="115"/>
    </row>
    <row r="73" spans="1:14" ht="15.75">
      <c r="A73" s="7"/>
      <c r="B73" s="57"/>
      <c r="C73" s="56"/>
      <c r="D73" s="56"/>
      <c r="E73" s="56"/>
      <c r="F73" s="56"/>
      <c r="G73" s="57"/>
      <c r="H73" s="57"/>
      <c r="I73" s="54"/>
      <c r="J73" s="57"/>
      <c r="K73" s="56"/>
      <c r="L73" s="56"/>
      <c r="M73" s="57"/>
      <c r="N73" s="55"/>
    </row>
    <row r="74" spans="1:14" ht="15.75">
      <c r="A74" s="21" t="s">
        <v>30</v>
      </c>
      <c r="B74" s="57"/>
      <c r="C74" s="56"/>
      <c r="D74" s="56"/>
      <c r="E74" s="56"/>
      <c r="F74" s="56"/>
      <c r="G74" s="57"/>
      <c r="H74" s="57"/>
      <c r="I74" s="54"/>
      <c r="J74" s="57"/>
      <c r="K74" s="56"/>
      <c r="L74" s="56"/>
      <c r="M74" s="57"/>
      <c r="N74" s="55"/>
    </row>
    <row r="75" spans="1:14" ht="15.75">
      <c r="A75" t="s">
        <v>297</v>
      </c>
      <c r="B75" s="57"/>
      <c r="C75" s="56"/>
      <c r="D75" s="56"/>
      <c r="E75" s="56"/>
      <c r="F75" s="56"/>
      <c r="G75" s="57"/>
      <c r="H75" s="57"/>
      <c r="I75" s="54"/>
      <c r="J75" s="57"/>
      <c r="K75" s="56"/>
      <c r="L75" s="56"/>
      <c r="M75" s="57"/>
      <c r="N75" s="55"/>
    </row>
    <row r="76" spans="1:14" ht="15.75">
      <c r="A76" s="7"/>
      <c r="B76" s="57"/>
      <c r="C76" s="56"/>
      <c r="D76" s="56"/>
      <c r="E76" s="56"/>
      <c r="F76" s="56"/>
      <c r="G76" s="57"/>
      <c r="H76" s="57"/>
      <c r="I76" s="54"/>
      <c r="J76" s="57"/>
      <c r="K76" s="56"/>
      <c r="L76" s="56"/>
      <c r="M76" s="57"/>
      <c r="N76" s="55"/>
    </row>
    <row r="77" spans="1:14" ht="15.75">
      <c r="A77" s="7"/>
      <c r="B77" s="57"/>
      <c r="C77" s="56"/>
      <c r="D77" s="56"/>
      <c r="E77" s="56"/>
      <c r="F77" s="56"/>
      <c r="G77" s="57"/>
      <c r="H77" s="57"/>
      <c r="I77" s="54"/>
      <c r="J77" s="57"/>
      <c r="K77" s="56"/>
      <c r="L77" s="56"/>
      <c r="M77" s="57"/>
      <c r="N77" s="55"/>
    </row>
    <row r="78" spans="1:14" ht="15.75">
      <c r="A78" s="7"/>
      <c r="B78" s="57"/>
      <c r="C78" s="56"/>
      <c r="D78" s="56"/>
      <c r="E78" s="56"/>
      <c r="F78" s="56"/>
      <c r="G78" s="57"/>
      <c r="H78" s="57"/>
      <c r="I78" s="54"/>
      <c r="J78" s="57"/>
      <c r="K78" s="56"/>
      <c r="L78" s="56"/>
      <c r="M78" s="57"/>
      <c r="N78" s="55"/>
    </row>
    <row r="79" spans="1:14" ht="15.75">
      <c r="A79" s="7"/>
      <c r="B79" s="57"/>
      <c r="C79" s="56"/>
      <c r="D79" s="56"/>
      <c r="E79" s="56"/>
      <c r="F79" s="56"/>
      <c r="G79" s="57"/>
      <c r="H79" s="57"/>
      <c r="I79" s="54"/>
      <c r="J79" s="57"/>
      <c r="K79" s="56"/>
      <c r="L79" s="56"/>
      <c r="M79" s="57"/>
      <c r="N79" s="55"/>
    </row>
    <row r="81" spans="1:14" ht="20.25">
      <c r="A81" s="203" t="s">
        <v>265</v>
      </c>
      <c r="B81" s="203"/>
      <c r="C81" s="203"/>
      <c r="D81" s="203"/>
      <c r="E81" s="203"/>
      <c r="F81" s="203"/>
      <c r="G81" s="203"/>
      <c r="H81" s="203"/>
      <c r="I81" s="93"/>
      <c r="J81" s="93"/>
      <c r="K81" s="93"/>
      <c r="L81" s="93"/>
      <c r="M81" s="93"/>
      <c r="N81" s="93"/>
    </row>
    <row r="82" spans="1:14" ht="20.25">
      <c r="A82" s="217" t="s">
        <v>77</v>
      </c>
      <c r="B82" s="217"/>
      <c r="C82" s="217"/>
      <c r="D82" s="217"/>
      <c r="E82" s="217"/>
      <c r="F82" s="217"/>
      <c r="G82" s="217"/>
      <c r="H82" s="217"/>
      <c r="I82" s="196"/>
      <c r="J82" s="94"/>
      <c r="K82" s="94"/>
      <c r="L82" s="94"/>
      <c r="M82" s="94"/>
      <c r="N82" s="94"/>
    </row>
    <row r="83" spans="1:14" ht="18.75">
      <c r="A83" s="40"/>
      <c r="B83" s="212" t="s">
        <v>121</v>
      </c>
      <c r="C83" s="213"/>
      <c r="D83" s="213"/>
      <c r="E83" s="213"/>
      <c r="F83" s="213"/>
      <c r="G83" s="213"/>
      <c r="H83" s="213"/>
      <c r="I83" s="189"/>
    </row>
    <row r="84" spans="1:14" ht="36.75">
      <c r="A84" s="41" t="s">
        <v>1</v>
      </c>
      <c r="B84" s="42" t="s">
        <v>2</v>
      </c>
      <c r="C84" s="43" t="s">
        <v>3</v>
      </c>
      <c r="D84" s="44" t="s">
        <v>57</v>
      </c>
      <c r="E84" s="45" t="s">
        <v>58</v>
      </c>
      <c r="F84" s="3" t="s">
        <v>274</v>
      </c>
      <c r="G84" s="173" t="s">
        <v>201</v>
      </c>
      <c r="H84" s="43" t="s">
        <v>6</v>
      </c>
    </row>
    <row r="85" spans="1:14" ht="15.75">
      <c r="A85" s="40"/>
      <c r="B85" s="65" t="s">
        <v>32</v>
      </c>
      <c r="C85" s="65" t="s">
        <v>32</v>
      </c>
      <c r="D85" s="65" t="s">
        <v>32</v>
      </c>
      <c r="E85" s="65" t="s">
        <v>32</v>
      </c>
      <c r="F85" s="65" t="s">
        <v>32</v>
      </c>
      <c r="G85" s="65" t="s">
        <v>32</v>
      </c>
      <c r="H85" s="65" t="s">
        <v>32</v>
      </c>
      <c r="J85" s="171"/>
    </row>
    <row r="86" spans="1:14" ht="15.75">
      <c r="A86" s="51" t="s">
        <v>60</v>
      </c>
      <c r="B86" s="137">
        <f>1571+16</f>
        <v>1587</v>
      </c>
      <c r="C86" s="62">
        <v>9</v>
      </c>
      <c r="D86" s="62">
        <v>2</v>
      </c>
      <c r="E86" s="61">
        <v>165</v>
      </c>
      <c r="F86" s="61">
        <v>15</v>
      </c>
      <c r="G86" s="61">
        <v>0</v>
      </c>
      <c r="H86" s="174">
        <f>SUM(B86:G86)</f>
        <v>1778</v>
      </c>
      <c r="J86" s="171"/>
    </row>
    <row r="87" spans="1:14" ht="15.75">
      <c r="A87" s="51" t="s">
        <v>61</v>
      </c>
      <c r="B87" s="137">
        <f>3351+16</f>
        <v>3367</v>
      </c>
      <c r="C87" s="62">
        <v>9</v>
      </c>
      <c r="D87" s="62">
        <v>2</v>
      </c>
      <c r="E87" s="61">
        <v>165</v>
      </c>
      <c r="F87" s="61">
        <v>15</v>
      </c>
      <c r="G87" s="61">
        <v>0</v>
      </c>
      <c r="H87" s="174">
        <f>SUM(B87:G87)</f>
        <v>3558</v>
      </c>
    </row>
    <row r="88" spans="1:14" ht="15.75">
      <c r="A88" s="7"/>
      <c r="B88" s="57"/>
      <c r="C88" s="56"/>
      <c r="D88" s="56"/>
      <c r="E88" s="56"/>
      <c r="F88" s="56"/>
      <c r="G88" s="57"/>
      <c r="H88" s="57"/>
      <c r="I88" s="54"/>
      <c r="J88" s="57"/>
      <c r="K88" s="56"/>
      <c r="L88" s="56"/>
      <c r="M88" s="57"/>
      <c r="N88" s="55"/>
    </row>
    <row r="89" spans="1:14" ht="15.75">
      <c r="A89" s="32" t="s">
        <v>30</v>
      </c>
      <c r="B89" s="57"/>
      <c r="C89" s="56"/>
      <c r="D89" s="56"/>
      <c r="E89" s="56"/>
      <c r="F89" s="56"/>
      <c r="G89" s="57"/>
      <c r="H89" s="57"/>
      <c r="I89" s="54"/>
      <c r="J89" s="57"/>
      <c r="K89" s="56"/>
      <c r="L89" s="56"/>
      <c r="M89" s="57"/>
      <c r="N89" s="55"/>
    </row>
    <row r="90" spans="1:14" ht="15.75">
      <c r="A90" t="s">
        <v>270</v>
      </c>
      <c r="B90" s="57"/>
      <c r="C90" s="56"/>
      <c r="D90" s="56"/>
      <c r="E90" s="56"/>
      <c r="F90" s="56"/>
      <c r="G90" s="57"/>
      <c r="H90" s="57"/>
      <c r="I90" s="54"/>
      <c r="J90" s="57"/>
      <c r="K90" s="56"/>
      <c r="L90" s="56"/>
      <c r="M90" s="57"/>
      <c r="N90" s="55"/>
    </row>
    <row r="91" spans="1:14" ht="15.75">
      <c r="B91" s="57"/>
      <c r="C91" s="56"/>
      <c r="D91" s="56"/>
      <c r="E91" s="56"/>
      <c r="F91" s="56"/>
      <c r="G91" s="57"/>
      <c r="H91" s="57"/>
      <c r="I91" s="54"/>
      <c r="J91" s="57"/>
      <c r="K91" s="56"/>
      <c r="L91" s="56"/>
      <c r="M91" s="57"/>
      <c r="N91" s="55"/>
    </row>
    <row r="92" spans="1:14" ht="15.75">
      <c r="B92" s="57"/>
      <c r="C92" s="56"/>
      <c r="D92" s="56"/>
      <c r="E92" s="56"/>
      <c r="F92" s="56"/>
      <c r="G92" s="57"/>
      <c r="H92" s="57"/>
      <c r="I92" s="54"/>
      <c r="J92" s="57"/>
      <c r="K92" s="56"/>
      <c r="L92" s="56"/>
      <c r="M92" s="57"/>
      <c r="N92" s="55"/>
    </row>
    <row r="93" spans="1:14" ht="15.75">
      <c r="B93" s="57"/>
      <c r="C93" s="56"/>
      <c r="D93" s="56"/>
      <c r="E93" s="56"/>
      <c r="F93" s="56"/>
      <c r="G93" s="57"/>
      <c r="H93" s="57"/>
      <c r="I93" s="54"/>
      <c r="J93" s="57"/>
      <c r="K93" s="56"/>
      <c r="L93" s="56"/>
      <c r="M93" s="57"/>
      <c r="N93" s="55"/>
    </row>
    <row r="94" spans="1:14" ht="20.25">
      <c r="A94" s="203" t="s">
        <v>265</v>
      </c>
      <c r="B94" s="203"/>
      <c r="C94" s="203"/>
      <c r="D94" s="203"/>
      <c r="E94" s="203"/>
      <c r="F94" s="203"/>
      <c r="G94" s="203"/>
      <c r="H94" s="203"/>
      <c r="I94" s="93"/>
      <c r="J94" s="93"/>
      <c r="K94" s="93"/>
      <c r="L94" s="93"/>
      <c r="M94" s="93"/>
      <c r="N94" s="93"/>
    </row>
    <row r="95" spans="1:14" ht="20.25">
      <c r="A95" s="217" t="s">
        <v>271</v>
      </c>
      <c r="B95" s="217"/>
      <c r="C95" s="217"/>
      <c r="D95" s="217"/>
      <c r="E95" s="217"/>
      <c r="F95" s="217"/>
      <c r="G95" s="217"/>
      <c r="H95" s="217"/>
      <c r="I95" s="196"/>
      <c r="J95" s="196"/>
      <c r="K95" s="94"/>
      <c r="L95" s="94"/>
      <c r="M95" s="94"/>
      <c r="N95" s="94"/>
    </row>
    <row r="96" spans="1:14" ht="18.75">
      <c r="A96" s="40"/>
      <c r="B96" s="212" t="s">
        <v>121</v>
      </c>
      <c r="C96" s="213"/>
      <c r="D96" s="213"/>
      <c r="E96" s="213"/>
      <c r="F96" s="213"/>
      <c r="G96" s="213"/>
      <c r="H96" s="213"/>
      <c r="I96" s="189"/>
    </row>
    <row r="97" spans="1:14" ht="36.75">
      <c r="A97" s="41" t="s">
        <v>1</v>
      </c>
      <c r="B97" s="42" t="s">
        <v>2</v>
      </c>
      <c r="C97" s="43" t="s">
        <v>3</v>
      </c>
      <c r="D97" s="44" t="s">
        <v>57</v>
      </c>
      <c r="E97" s="45" t="s">
        <v>58</v>
      </c>
      <c r="F97" s="3" t="s">
        <v>274</v>
      </c>
      <c r="G97" s="173" t="s">
        <v>201</v>
      </c>
      <c r="H97" s="43" t="s">
        <v>6</v>
      </c>
    </row>
    <row r="98" spans="1:14" ht="15.75">
      <c r="A98" s="40"/>
      <c r="B98" s="65" t="s">
        <v>32</v>
      </c>
      <c r="C98" s="65" t="s">
        <v>32</v>
      </c>
      <c r="D98" s="65" t="s">
        <v>32</v>
      </c>
      <c r="E98" s="65" t="s">
        <v>32</v>
      </c>
      <c r="F98" s="65" t="s">
        <v>32</v>
      </c>
      <c r="G98" s="65" t="s">
        <v>32</v>
      </c>
      <c r="H98" s="65" t="s">
        <v>32</v>
      </c>
      <c r="J98" s="171"/>
    </row>
    <row r="99" spans="1:14" ht="15.75">
      <c r="A99" s="51" t="s">
        <v>59</v>
      </c>
      <c r="B99" s="137">
        <f>1851+16</f>
        <v>1867</v>
      </c>
      <c r="C99" s="62">
        <v>9</v>
      </c>
      <c r="D99" s="62">
        <v>2</v>
      </c>
      <c r="E99" s="61">
        <v>165</v>
      </c>
      <c r="F99" s="61">
        <v>15</v>
      </c>
      <c r="G99" s="61">
        <v>0</v>
      </c>
      <c r="H99" s="174">
        <f>SUM(B99:G99)</f>
        <v>2058</v>
      </c>
      <c r="J99" s="171"/>
    </row>
    <row r="100" spans="1:14">
      <c r="A100" s="46" t="s">
        <v>254</v>
      </c>
      <c r="B100" s="137">
        <f>1851+16</f>
        <v>1867</v>
      </c>
      <c r="C100" s="62">
        <v>9</v>
      </c>
      <c r="D100" s="62">
        <v>2</v>
      </c>
      <c r="E100" s="61">
        <v>0</v>
      </c>
      <c r="F100" s="61">
        <v>15</v>
      </c>
      <c r="G100" s="61">
        <v>16</v>
      </c>
      <c r="H100" s="174">
        <f>SUM(B100:G100)</f>
        <v>1909</v>
      </c>
      <c r="J100" s="171"/>
    </row>
    <row r="101" spans="1:14" ht="15.75">
      <c r="B101" s="57"/>
      <c r="C101" s="56"/>
      <c r="D101" s="56"/>
      <c r="E101" s="56"/>
      <c r="F101" s="56"/>
      <c r="G101" s="57"/>
      <c r="H101" s="57"/>
      <c r="I101" s="54"/>
      <c r="J101" s="57"/>
      <c r="K101" s="56"/>
      <c r="L101" s="56"/>
      <c r="M101" s="57"/>
      <c r="N101" s="55"/>
    </row>
    <row r="102" spans="1:14" ht="15.75">
      <c r="A102" s="32" t="s">
        <v>30</v>
      </c>
      <c r="B102" s="57"/>
      <c r="C102" s="56"/>
      <c r="D102" s="56"/>
      <c r="E102" s="56"/>
      <c r="F102" s="56"/>
      <c r="G102" s="57"/>
      <c r="H102" s="57"/>
      <c r="I102" s="54"/>
      <c r="J102" s="57"/>
      <c r="K102" s="56"/>
      <c r="L102" s="56"/>
      <c r="M102" s="57"/>
      <c r="N102" s="55"/>
    </row>
    <row r="103" spans="1:14" ht="15.75">
      <c r="A103" t="s">
        <v>194</v>
      </c>
      <c r="B103" s="57"/>
      <c r="C103" s="56"/>
      <c r="D103" s="56"/>
      <c r="E103" s="56"/>
      <c r="F103" s="56"/>
      <c r="G103" s="57"/>
      <c r="H103" s="57"/>
      <c r="I103" s="54"/>
      <c r="J103" s="57"/>
      <c r="K103" s="56"/>
      <c r="L103" s="56"/>
      <c r="M103" s="57"/>
      <c r="N103" s="55"/>
    </row>
    <row r="104" spans="1:14" ht="15.75">
      <c r="A104" t="s">
        <v>272</v>
      </c>
      <c r="B104" s="57"/>
      <c r="C104" s="56"/>
      <c r="D104" s="56"/>
      <c r="E104" s="56"/>
      <c r="F104" s="56"/>
      <c r="G104" s="57"/>
      <c r="H104" s="57"/>
      <c r="I104" s="54"/>
      <c r="J104" s="57"/>
      <c r="K104" s="56"/>
      <c r="L104" s="56"/>
      <c r="M104" s="57"/>
      <c r="N104" s="55"/>
    </row>
    <row r="105" spans="1:14" ht="15.75">
      <c r="B105" s="57"/>
      <c r="C105" s="56"/>
      <c r="D105" s="56"/>
      <c r="E105" s="56"/>
      <c r="F105" s="56"/>
      <c r="G105" s="57"/>
      <c r="H105" s="57"/>
      <c r="I105" s="54"/>
      <c r="J105" s="57"/>
      <c r="K105" s="56"/>
      <c r="L105" s="56"/>
      <c r="M105" s="57"/>
      <c r="N105" s="55"/>
    </row>
    <row r="106" spans="1:14" ht="15.75">
      <c r="B106" s="57"/>
      <c r="C106" s="56"/>
      <c r="D106" s="56"/>
      <c r="E106" s="56"/>
      <c r="F106" s="56"/>
      <c r="G106" s="57"/>
      <c r="H106" s="57"/>
      <c r="I106" s="54"/>
      <c r="J106" s="57"/>
      <c r="K106" s="56"/>
      <c r="L106" s="56"/>
      <c r="M106" s="57"/>
      <c r="N106" s="55"/>
    </row>
    <row r="107" spans="1:14" ht="15.75">
      <c r="A107" s="7"/>
      <c r="B107" s="57"/>
      <c r="C107" s="56"/>
      <c r="D107" s="56"/>
      <c r="E107" s="56"/>
      <c r="F107" s="56"/>
      <c r="G107" s="57"/>
      <c r="H107" s="57"/>
      <c r="I107" s="54"/>
      <c r="J107" s="57"/>
      <c r="K107" s="56"/>
      <c r="L107" s="56"/>
      <c r="M107" s="57"/>
      <c r="N107" s="55"/>
    </row>
    <row r="108" spans="1:14" ht="15.75">
      <c r="A108" s="7"/>
      <c r="B108" s="57"/>
      <c r="C108" s="56"/>
      <c r="D108" s="56"/>
      <c r="E108" s="56"/>
      <c r="F108" s="56"/>
      <c r="G108" s="57"/>
      <c r="H108" s="57"/>
      <c r="I108" s="54"/>
      <c r="J108" s="57"/>
      <c r="K108" s="56"/>
      <c r="L108" s="56"/>
      <c r="M108" s="57"/>
      <c r="N108" s="55"/>
    </row>
    <row r="109" spans="1:14" ht="20.25">
      <c r="A109" s="203" t="s">
        <v>265</v>
      </c>
      <c r="B109" s="203"/>
      <c r="C109" s="203"/>
      <c r="D109" s="203"/>
      <c r="E109" s="203"/>
      <c r="F109" s="203"/>
      <c r="G109" s="203"/>
      <c r="H109" s="93"/>
      <c r="I109" s="93"/>
      <c r="J109" s="93"/>
      <c r="K109" s="93"/>
      <c r="L109" s="93"/>
      <c r="M109" s="93"/>
      <c r="N109" s="93"/>
    </row>
    <row r="110" spans="1:14" ht="20.25">
      <c r="A110" s="217" t="s">
        <v>78</v>
      </c>
      <c r="B110" s="217"/>
      <c r="C110" s="217"/>
      <c r="D110" s="217"/>
      <c r="E110" s="217"/>
      <c r="F110" s="217"/>
      <c r="G110" s="217"/>
      <c r="H110" s="196"/>
      <c r="I110" s="196"/>
      <c r="J110" s="94"/>
      <c r="K110" s="94"/>
      <c r="L110" s="94"/>
      <c r="M110" s="94"/>
      <c r="N110" s="94"/>
    </row>
    <row r="111" spans="1:14" ht="18.75">
      <c r="A111" s="40"/>
      <c r="B111" s="212" t="s">
        <v>121</v>
      </c>
      <c r="C111" s="213"/>
      <c r="D111" s="213"/>
      <c r="E111" s="213"/>
      <c r="F111" s="213"/>
      <c r="G111" s="213"/>
      <c r="H111" s="189"/>
      <c r="I111" s="189"/>
    </row>
    <row r="112" spans="1:14" ht="36.75">
      <c r="A112" s="41" t="s">
        <v>1</v>
      </c>
      <c r="B112" s="66" t="s">
        <v>2</v>
      </c>
      <c r="C112" s="67" t="s">
        <v>3</v>
      </c>
      <c r="D112" s="68" t="s">
        <v>57</v>
      </c>
      <c r="E112" s="45" t="s">
        <v>58</v>
      </c>
      <c r="F112" s="3" t="s">
        <v>274</v>
      </c>
      <c r="G112" s="43" t="s">
        <v>6</v>
      </c>
    </row>
    <row r="113" spans="1:14" ht="15.75">
      <c r="A113" s="40"/>
      <c r="B113" s="65" t="s">
        <v>32</v>
      </c>
      <c r="C113" s="65" t="s">
        <v>32</v>
      </c>
      <c r="D113" s="65" t="s">
        <v>32</v>
      </c>
      <c r="E113" s="65" t="s">
        <v>32</v>
      </c>
      <c r="F113" s="65" t="s">
        <v>32</v>
      </c>
      <c r="G113" s="65" t="s">
        <v>32</v>
      </c>
    </row>
    <row r="114" spans="1:14" ht="15.75">
      <c r="A114" s="51" t="s">
        <v>63</v>
      </c>
      <c r="B114" s="137">
        <f>2512+16</f>
        <v>2528</v>
      </c>
      <c r="C114" s="62">
        <v>9</v>
      </c>
      <c r="D114" s="62">
        <v>2</v>
      </c>
      <c r="E114" s="61">
        <v>153</v>
      </c>
      <c r="F114" s="61">
        <v>15</v>
      </c>
      <c r="G114" s="136">
        <f>SUM(B114:F114)</f>
        <v>2707</v>
      </c>
    </row>
    <row r="115" spans="1:14" ht="15.75">
      <c r="A115" s="51" t="s">
        <v>64</v>
      </c>
      <c r="B115" s="137">
        <f>2512+16</f>
        <v>2528</v>
      </c>
      <c r="C115" s="62">
        <v>9</v>
      </c>
      <c r="D115" s="62">
        <v>2</v>
      </c>
      <c r="E115" s="61">
        <v>153</v>
      </c>
      <c r="F115" s="61">
        <v>15</v>
      </c>
      <c r="G115" s="136">
        <f>SUM(B115:F115)</f>
        <v>2707</v>
      </c>
    </row>
    <row r="116" spans="1:14" ht="15.75">
      <c r="A116" s="51" t="s">
        <v>65</v>
      </c>
      <c r="B116" s="137">
        <f>2258+16</f>
        <v>2274</v>
      </c>
      <c r="C116" s="62">
        <v>9</v>
      </c>
      <c r="D116" s="62">
        <v>2</v>
      </c>
      <c r="E116" s="61">
        <v>153</v>
      </c>
      <c r="F116" s="61">
        <v>15</v>
      </c>
      <c r="G116" s="136">
        <f>SUM(B116:F116)</f>
        <v>2453</v>
      </c>
    </row>
    <row r="117" spans="1:14" ht="15.75">
      <c r="A117" s="7"/>
      <c r="B117" s="63"/>
      <c r="C117" s="64"/>
      <c r="D117" s="64"/>
      <c r="E117" s="64"/>
      <c r="F117" s="64"/>
      <c r="G117" s="63"/>
      <c r="H117" s="63"/>
      <c r="I117" s="54"/>
      <c r="J117" s="63"/>
      <c r="K117" s="64"/>
      <c r="L117" s="64"/>
      <c r="M117" s="63"/>
      <c r="N117" s="55"/>
    </row>
    <row r="118" spans="1:14" ht="15.75">
      <c r="A118" s="7"/>
      <c r="B118" s="57"/>
      <c r="C118" s="56"/>
      <c r="D118" s="56"/>
      <c r="E118" s="56"/>
      <c r="F118" s="64"/>
      <c r="G118" s="57"/>
      <c r="H118" s="57"/>
      <c r="I118" s="54"/>
      <c r="J118" s="57"/>
      <c r="K118" s="56"/>
      <c r="L118" s="56"/>
      <c r="M118" s="57"/>
      <c r="N118" s="55"/>
    </row>
    <row r="119" spans="1:14" ht="15.75">
      <c r="A119" s="32" t="s">
        <v>30</v>
      </c>
      <c r="B119" s="57"/>
      <c r="C119" s="56"/>
      <c r="D119" s="56"/>
      <c r="E119" s="56"/>
      <c r="F119" s="64"/>
      <c r="G119" s="57"/>
      <c r="H119" s="57"/>
      <c r="I119" s="54"/>
      <c r="J119" s="57"/>
      <c r="K119" s="56"/>
      <c r="L119" s="56"/>
      <c r="M119" s="57"/>
      <c r="N119" s="55"/>
    </row>
    <row r="120" spans="1:14" ht="15.75">
      <c r="A120" t="s">
        <v>195</v>
      </c>
      <c r="B120" s="57"/>
      <c r="C120" s="56"/>
      <c r="D120" s="56"/>
      <c r="E120" s="56"/>
      <c r="F120" s="64"/>
      <c r="G120" s="57"/>
      <c r="H120" s="57"/>
      <c r="I120" s="54"/>
      <c r="J120" s="57"/>
      <c r="K120" s="56"/>
      <c r="L120" s="56"/>
      <c r="M120" s="57"/>
      <c r="N120" s="55"/>
    </row>
    <row r="121" spans="1:14" ht="15.75">
      <c r="A121" s="7"/>
      <c r="B121" s="57"/>
      <c r="C121" s="56"/>
      <c r="D121" s="56"/>
      <c r="E121" s="56"/>
      <c r="F121" s="56"/>
      <c r="G121" s="57"/>
      <c r="H121" s="57"/>
      <c r="I121" s="54"/>
      <c r="J121" s="57"/>
      <c r="K121" s="56"/>
      <c r="L121" s="56"/>
      <c r="M121" s="57"/>
      <c r="N121" s="55"/>
    </row>
    <row r="122" spans="1:14" ht="15.75">
      <c r="A122" s="7"/>
      <c r="B122" s="57"/>
      <c r="C122" s="56"/>
      <c r="D122" s="56"/>
      <c r="E122" s="56"/>
      <c r="F122" s="56"/>
      <c r="G122" s="57"/>
      <c r="H122" s="57"/>
      <c r="I122" s="54"/>
      <c r="J122" s="57"/>
      <c r="K122" s="56"/>
      <c r="L122" s="56"/>
      <c r="M122" s="57"/>
      <c r="N122" s="55"/>
    </row>
    <row r="123" spans="1:14" ht="15.75">
      <c r="A123" s="7"/>
      <c r="B123" s="57"/>
      <c r="C123" s="56"/>
      <c r="D123" s="56"/>
      <c r="E123" s="56"/>
      <c r="F123" s="56"/>
      <c r="G123" s="57"/>
      <c r="H123" s="57"/>
      <c r="I123" s="54"/>
      <c r="J123" s="57"/>
      <c r="K123" s="56"/>
      <c r="L123" s="56"/>
      <c r="M123" s="57"/>
      <c r="N123" s="55"/>
    </row>
    <row r="124" spans="1:14" ht="15.75">
      <c r="F124" s="56"/>
    </row>
    <row r="125" spans="1:14" ht="20.25">
      <c r="A125" s="203" t="s">
        <v>265</v>
      </c>
      <c r="B125" s="203"/>
      <c r="C125" s="203"/>
      <c r="D125" s="203"/>
      <c r="E125" s="203"/>
      <c r="F125" s="203"/>
      <c r="G125" s="203"/>
      <c r="H125" s="93"/>
      <c r="I125" s="93"/>
      <c r="J125" s="93"/>
      <c r="K125" s="93"/>
      <c r="L125" s="93"/>
      <c r="M125" s="93"/>
      <c r="N125" s="93"/>
    </row>
    <row r="126" spans="1:14" ht="20.25">
      <c r="A126" s="217" t="s">
        <v>79</v>
      </c>
      <c r="B126" s="217"/>
      <c r="C126" s="217"/>
      <c r="D126" s="217"/>
      <c r="E126" s="217"/>
      <c r="F126" s="217"/>
      <c r="G126" s="217"/>
      <c r="H126" s="196"/>
      <c r="I126" s="196"/>
      <c r="J126" s="94"/>
      <c r="K126" s="94"/>
      <c r="L126" s="94"/>
      <c r="M126" s="94"/>
      <c r="N126" s="94"/>
    </row>
    <row r="127" spans="1:14" ht="18.75">
      <c r="A127" s="40"/>
      <c r="B127" s="212" t="s">
        <v>121</v>
      </c>
      <c r="C127" s="213"/>
      <c r="D127" s="213"/>
      <c r="E127" s="213"/>
      <c r="F127" s="213"/>
      <c r="G127" s="213"/>
      <c r="H127" s="189"/>
      <c r="I127" s="189"/>
    </row>
    <row r="128" spans="1:14" ht="36.75">
      <c r="A128" s="41" t="s">
        <v>1</v>
      </c>
      <c r="B128" s="66" t="s">
        <v>2</v>
      </c>
      <c r="C128" s="67" t="s">
        <v>3</v>
      </c>
      <c r="D128" s="68" t="s">
        <v>57</v>
      </c>
      <c r="E128" s="45" t="s">
        <v>58</v>
      </c>
      <c r="F128" s="3" t="s">
        <v>274</v>
      </c>
      <c r="G128" s="43" t="s">
        <v>6</v>
      </c>
    </row>
    <row r="129" spans="1:14" ht="15.75">
      <c r="A129" s="40"/>
      <c r="B129" s="6" t="s">
        <v>32</v>
      </c>
      <c r="C129" s="6" t="s">
        <v>32</v>
      </c>
      <c r="D129" s="6" t="s">
        <v>32</v>
      </c>
      <c r="E129" s="6" t="s">
        <v>32</v>
      </c>
      <c r="F129" s="65" t="s">
        <v>32</v>
      </c>
      <c r="G129" s="65" t="s">
        <v>32</v>
      </c>
    </row>
    <row r="130" spans="1:14" ht="15.75">
      <c r="A130" s="51" t="s">
        <v>71</v>
      </c>
      <c r="B130" s="135">
        <f>2588+16</f>
        <v>2604</v>
      </c>
      <c r="C130" s="62">
        <v>9</v>
      </c>
      <c r="D130" s="62">
        <v>2</v>
      </c>
      <c r="E130" s="47">
        <v>153</v>
      </c>
      <c r="F130" s="47">
        <v>15</v>
      </c>
      <c r="G130" s="136">
        <f>SUM(B130:F130)</f>
        <v>2783</v>
      </c>
    </row>
    <row r="131" spans="1:14" ht="15.75">
      <c r="A131" s="51" t="s">
        <v>73</v>
      </c>
      <c r="B131" s="135">
        <f>1524+16</f>
        <v>1540</v>
      </c>
      <c r="C131" s="62">
        <v>9</v>
      </c>
      <c r="D131" s="62">
        <v>2</v>
      </c>
      <c r="E131" s="47">
        <f>'[1]SAS 2016-17'!J35</f>
        <v>0</v>
      </c>
      <c r="F131" s="47">
        <v>15</v>
      </c>
      <c r="G131" s="136">
        <f>SUM(B131:F131)</f>
        <v>1566</v>
      </c>
    </row>
    <row r="132" spans="1:14" ht="15.75">
      <c r="A132" s="51" t="s">
        <v>74</v>
      </c>
      <c r="B132" s="135">
        <f>1524+16</f>
        <v>1540</v>
      </c>
      <c r="C132" s="62">
        <v>9</v>
      </c>
      <c r="D132" s="62">
        <v>2</v>
      </c>
      <c r="E132" s="47">
        <f>'[1]SAS 2016-17'!J36</f>
        <v>0</v>
      </c>
      <c r="F132" s="47">
        <v>15</v>
      </c>
      <c r="G132" s="136">
        <f>SUM(B132:F132)</f>
        <v>1566</v>
      </c>
    </row>
    <row r="133" spans="1:14">
      <c r="F133" s="53"/>
    </row>
    <row r="135" spans="1:14">
      <c r="A135" s="32" t="s">
        <v>30</v>
      </c>
      <c r="L135" s="49"/>
    </row>
    <row r="136" spans="1:14">
      <c r="A136" t="s">
        <v>195</v>
      </c>
      <c r="L136" s="49"/>
    </row>
    <row r="140" spans="1:14" ht="20.25">
      <c r="A140" s="203" t="s">
        <v>265</v>
      </c>
      <c r="B140" s="203"/>
      <c r="C140" s="203"/>
      <c r="D140" s="203"/>
      <c r="E140" s="203"/>
      <c r="F140" s="203"/>
      <c r="G140" s="203"/>
      <c r="H140" s="93"/>
      <c r="I140" s="93"/>
      <c r="J140" s="93"/>
      <c r="K140" s="93"/>
      <c r="L140" s="93"/>
      <c r="M140" s="93"/>
      <c r="N140" s="93"/>
    </row>
    <row r="141" spans="1:14" ht="20.25">
      <c r="A141" s="216" t="s">
        <v>80</v>
      </c>
      <c r="B141" s="216"/>
      <c r="C141" s="216"/>
      <c r="D141" s="216"/>
      <c r="E141" s="216"/>
      <c r="F141" s="216"/>
      <c r="G141" s="216"/>
      <c r="H141" s="94"/>
      <c r="I141" s="94"/>
      <c r="J141" s="94"/>
      <c r="K141" s="94"/>
      <c r="L141" s="94"/>
      <c r="M141" s="94"/>
      <c r="N141" s="94"/>
    </row>
    <row r="142" spans="1:14" ht="18.75">
      <c r="A142" s="40"/>
      <c r="B142" s="212" t="s">
        <v>121</v>
      </c>
      <c r="C142" s="213"/>
      <c r="D142" s="213"/>
      <c r="E142" s="213"/>
      <c r="F142" s="213"/>
      <c r="G142" s="213"/>
      <c r="H142" s="189"/>
      <c r="I142" s="189"/>
    </row>
    <row r="143" spans="1:14" ht="36.75">
      <c r="A143" s="41" t="s">
        <v>1</v>
      </c>
      <c r="B143" s="66" t="s">
        <v>2</v>
      </c>
      <c r="C143" s="67" t="s">
        <v>3</v>
      </c>
      <c r="D143" s="68" t="s">
        <v>57</v>
      </c>
      <c r="E143" s="45" t="s">
        <v>58</v>
      </c>
      <c r="F143" s="3" t="s">
        <v>274</v>
      </c>
      <c r="G143" s="43" t="s">
        <v>6</v>
      </c>
    </row>
    <row r="144" spans="1:14" ht="15.75">
      <c r="A144" s="40"/>
      <c r="B144" s="6" t="s">
        <v>32</v>
      </c>
      <c r="C144" s="6" t="s">
        <v>32</v>
      </c>
      <c r="D144" s="6" t="s">
        <v>32</v>
      </c>
      <c r="E144" s="6" t="s">
        <v>32</v>
      </c>
      <c r="F144" s="65" t="s">
        <v>32</v>
      </c>
      <c r="G144" s="65" t="s">
        <v>32</v>
      </c>
    </row>
    <row r="145" spans="1:7" ht="15.75">
      <c r="A145" s="40" t="s">
        <v>76</v>
      </c>
      <c r="B145" s="127">
        <f>3915+16</f>
        <v>3931</v>
      </c>
      <c r="C145" s="62">
        <v>9</v>
      </c>
      <c r="D145" s="62">
        <v>2</v>
      </c>
      <c r="E145" s="48">
        <v>160</v>
      </c>
      <c r="F145" s="48">
        <v>15</v>
      </c>
      <c r="G145" s="136">
        <f>SUM(B145:F145)</f>
        <v>4117</v>
      </c>
    </row>
    <row r="147" spans="1:7">
      <c r="A147" s="32" t="s">
        <v>30</v>
      </c>
    </row>
    <row r="148" spans="1:7">
      <c r="A148" t="s">
        <v>196</v>
      </c>
    </row>
  </sheetData>
  <mergeCells count="30">
    <mergeCell ref="B35:G35"/>
    <mergeCell ref="A51:G51"/>
    <mergeCell ref="A1:H1"/>
    <mergeCell ref="A2:H2"/>
    <mergeCell ref="B3:H3"/>
    <mergeCell ref="A33:G33"/>
    <mergeCell ref="A34:G34"/>
    <mergeCell ref="A14:J14"/>
    <mergeCell ref="A15:J15"/>
    <mergeCell ref="B16:J16"/>
    <mergeCell ref="A52:G52"/>
    <mergeCell ref="B53:G53"/>
    <mergeCell ref="A67:G67"/>
    <mergeCell ref="A68:G68"/>
    <mergeCell ref="B69:G69"/>
    <mergeCell ref="A81:H81"/>
    <mergeCell ref="A82:H82"/>
    <mergeCell ref="B83:H83"/>
    <mergeCell ref="A94:H94"/>
    <mergeCell ref="A95:H95"/>
    <mergeCell ref="B96:H96"/>
    <mergeCell ref="A109:G109"/>
    <mergeCell ref="A110:G110"/>
    <mergeCell ref="B111:G111"/>
    <mergeCell ref="A125:G125"/>
    <mergeCell ref="A126:G126"/>
    <mergeCell ref="B127:G127"/>
    <mergeCell ref="A140:G140"/>
    <mergeCell ref="A141:G141"/>
    <mergeCell ref="B142:G142"/>
  </mergeCells>
  <pageMargins left="0.7" right="0.7" top="0.75" bottom="0.75" header="0.3" footer="0.3"/>
  <pageSetup orientation="landscape" r:id="rId1"/>
  <ignoredErrors>
    <ignoredError sqref="B4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8"/>
  <sheetViews>
    <sheetView topLeftCell="A72" workbookViewId="0">
      <selection activeCell="F133" sqref="F133"/>
    </sheetView>
  </sheetViews>
  <sheetFormatPr defaultRowHeight="15"/>
  <cols>
    <col min="1" max="1" width="36.85546875" customWidth="1"/>
    <col min="2" max="2" width="10.140625" customWidth="1"/>
    <col min="3" max="3" width="9" customWidth="1"/>
    <col min="4" max="4" width="6.7109375" customWidth="1"/>
    <col min="5" max="5" width="8.140625" customWidth="1"/>
    <col min="6" max="7" width="13.140625" customWidth="1"/>
    <col min="8" max="8" width="10" customWidth="1"/>
    <col min="9" max="9" width="9.85546875" customWidth="1"/>
    <col min="10" max="10" width="9.28515625" customWidth="1"/>
    <col min="11" max="11" width="7.28515625" customWidth="1"/>
    <col min="12" max="12" width="17.140625" customWidth="1"/>
    <col min="13" max="13" width="11.28515625" customWidth="1"/>
    <col min="14" max="14" width="9.5703125" customWidth="1"/>
    <col min="15" max="15" width="9.5703125" bestFit="1" customWidth="1"/>
  </cols>
  <sheetData>
    <row r="1" spans="1:14" ht="20.25">
      <c r="A1" s="205" t="s">
        <v>265</v>
      </c>
      <c r="B1" s="205"/>
      <c r="C1" s="205"/>
      <c r="D1" s="205"/>
      <c r="E1" s="205"/>
      <c r="F1" s="205"/>
      <c r="G1" s="205"/>
      <c r="H1" s="197"/>
      <c r="I1" s="197"/>
      <c r="J1" s="93"/>
      <c r="K1" s="93"/>
      <c r="L1" s="93"/>
      <c r="M1" s="93"/>
      <c r="N1" s="93"/>
    </row>
    <row r="2" spans="1:14" ht="20.25">
      <c r="A2" s="215" t="s">
        <v>55</v>
      </c>
      <c r="B2" s="215"/>
      <c r="C2" s="215"/>
      <c r="D2" s="215"/>
      <c r="E2" s="215"/>
      <c r="F2" s="215"/>
      <c r="G2" s="215"/>
      <c r="H2" s="195"/>
      <c r="I2" s="195"/>
      <c r="J2" s="94"/>
      <c r="K2" s="94"/>
      <c r="L2" s="94"/>
      <c r="M2" s="94"/>
      <c r="N2" s="94"/>
    </row>
    <row r="3" spans="1:14" ht="18.75">
      <c r="A3" s="40"/>
      <c r="B3" s="212" t="s">
        <v>163</v>
      </c>
      <c r="C3" s="213"/>
      <c r="D3" s="213"/>
      <c r="E3" s="213"/>
      <c r="F3" s="213"/>
      <c r="G3" s="213"/>
      <c r="H3" s="189"/>
      <c r="I3" s="189"/>
      <c r="J3" s="218"/>
      <c r="K3" s="218"/>
      <c r="L3" s="218"/>
      <c r="M3" s="218"/>
      <c r="N3" s="218"/>
    </row>
    <row r="4" spans="1:14" ht="42.75">
      <c r="A4" s="41" t="s">
        <v>1</v>
      </c>
      <c r="B4" s="42" t="s">
        <v>2</v>
      </c>
      <c r="C4" s="43" t="s">
        <v>3</v>
      </c>
      <c r="D4" s="44" t="s">
        <v>57</v>
      </c>
      <c r="E4" s="3" t="s">
        <v>274</v>
      </c>
      <c r="F4" s="69" t="s">
        <v>58</v>
      </c>
      <c r="G4" s="43" t="s">
        <v>6</v>
      </c>
      <c r="H4" s="3"/>
      <c r="I4" s="58"/>
      <c r="J4" s="59"/>
      <c r="K4" s="60"/>
      <c r="L4" s="58"/>
    </row>
    <row r="5" spans="1:14" ht="15.75">
      <c r="A5" s="40"/>
      <c r="B5" s="6" t="s">
        <v>8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8</v>
      </c>
      <c r="H5" s="2"/>
      <c r="I5" s="2"/>
      <c r="K5" s="2"/>
      <c r="L5" s="2"/>
    </row>
    <row r="6" spans="1:14">
      <c r="A6" s="46" t="s">
        <v>60</v>
      </c>
      <c r="B6" s="135">
        <f>(2980.72*1.05)+100</f>
        <v>3229.7559999999999</v>
      </c>
      <c r="C6" s="48">
        <v>80</v>
      </c>
      <c r="D6" s="48">
        <v>20</v>
      </c>
      <c r="E6" s="48">
        <v>100</v>
      </c>
      <c r="F6" s="47">
        <v>2000</v>
      </c>
      <c r="G6" s="138">
        <f>SUM(B6:F6)</f>
        <v>5429.7559999999994</v>
      </c>
      <c r="H6" s="52"/>
      <c r="I6" s="53"/>
      <c r="K6" s="52"/>
      <c r="L6" s="55"/>
      <c r="M6" s="10"/>
    </row>
    <row r="7" spans="1:14">
      <c r="A7" s="46" t="s">
        <v>61</v>
      </c>
      <c r="B7" s="135">
        <f>(4596.16*1.05)+100</f>
        <v>4925.9679999999998</v>
      </c>
      <c r="C7" s="48">
        <v>80</v>
      </c>
      <c r="D7" s="48">
        <v>20</v>
      </c>
      <c r="E7" s="48">
        <v>100</v>
      </c>
      <c r="F7" s="47">
        <f>3000*1.05</f>
        <v>3150</v>
      </c>
      <c r="G7" s="138">
        <f>SUM(B7:F7)</f>
        <v>8275.9680000000008</v>
      </c>
      <c r="H7" s="52"/>
      <c r="I7" s="53"/>
      <c r="J7" s="52"/>
      <c r="K7" s="52"/>
      <c r="L7" s="55"/>
      <c r="M7" s="10"/>
    </row>
    <row r="9" spans="1:14">
      <c r="A9" s="21" t="s">
        <v>30</v>
      </c>
      <c r="L9" s="49"/>
    </row>
    <row r="10" spans="1:14">
      <c r="A10" t="s">
        <v>278</v>
      </c>
      <c r="L10" s="49"/>
    </row>
    <row r="11" spans="1:14">
      <c r="A11" t="s">
        <v>273</v>
      </c>
      <c r="L11" s="49"/>
    </row>
    <row r="12" spans="1:14">
      <c r="L12" s="49"/>
    </row>
    <row r="13" spans="1:14">
      <c r="L13" s="49"/>
    </row>
    <row r="14" spans="1:14">
      <c r="L14" s="49"/>
      <c r="M14" s="10"/>
    </row>
    <row r="15" spans="1:14" ht="20.25">
      <c r="A15" s="205" t="s">
        <v>265</v>
      </c>
      <c r="B15" s="205"/>
      <c r="C15" s="205"/>
      <c r="D15" s="205"/>
      <c r="E15" s="205"/>
      <c r="F15" s="205"/>
      <c r="G15" s="205"/>
      <c r="H15" s="197"/>
      <c r="I15" s="197"/>
      <c r="J15" s="93"/>
      <c r="K15" s="93"/>
      <c r="L15" s="93"/>
      <c r="M15" s="93"/>
      <c r="N15" s="93"/>
    </row>
    <row r="16" spans="1:14" ht="20.25">
      <c r="A16" s="219" t="s">
        <v>269</v>
      </c>
      <c r="B16" s="219"/>
      <c r="C16" s="219"/>
      <c r="D16" s="219"/>
      <c r="E16" s="219"/>
      <c r="F16" s="219"/>
      <c r="G16" s="219"/>
      <c r="H16" s="194"/>
      <c r="I16" s="194"/>
      <c r="J16" s="194"/>
      <c r="K16" s="94"/>
      <c r="L16" s="94"/>
      <c r="M16" s="94"/>
      <c r="N16" s="94"/>
    </row>
    <row r="17" spans="1:14" ht="18.75">
      <c r="A17" s="40"/>
      <c r="B17" s="212" t="s">
        <v>163</v>
      </c>
      <c r="C17" s="213"/>
      <c r="D17" s="213"/>
      <c r="E17" s="213"/>
      <c r="F17" s="213"/>
      <c r="G17" s="213"/>
      <c r="H17" s="189"/>
      <c r="I17" s="189"/>
      <c r="J17" s="218"/>
      <c r="K17" s="218"/>
      <c r="L17" s="218"/>
      <c r="M17" s="218"/>
      <c r="N17" s="218"/>
    </row>
    <row r="18" spans="1:14" ht="42.75">
      <c r="A18" s="41" t="s">
        <v>1</v>
      </c>
      <c r="B18" s="42" t="s">
        <v>2</v>
      </c>
      <c r="C18" s="43" t="s">
        <v>3</v>
      </c>
      <c r="D18" s="44" t="s">
        <v>57</v>
      </c>
      <c r="E18" s="3" t="s">
        <v>274</v>
      </c>
      <c r="F18" s="69" t="s">
        <v>58</v>
      </c>
      <c r="G18" s="43" t="s">
        <v>6</v>
      </c>
      <c r="H18" s="3"/>
      <c r="I18" s="58"/>
      <c r="J18" s="59"/>
      <c r="K18" s="60"/>
      <c r="L18" s="58"/>
    </row>
    <row r="19" spans="1:14" ht="15.75">
      <c r="A19" s="40"/>
      <c r="B19" s="6" t="s">
        <v>8</v>
      </c>
      <c r="C19" s="6" t="s">
        <v>8</v>
      </c>
      <c r="D19" s="6" t="s">
        <v>8</v>
      </c>
      <c r="E19" s="6" t="s">
        <v>8</v>
      </c>
      <c r="F19" s="6" t="s">
        <v>8</v>
      </c>
      <c r="G19" s="6" t="s">
        <v>8</v>
      </c>
      <c r="H19" s="2"/>
      <c r="I19" s="2"/>
      <c r="K19" s="2"/>
      <c r="L19" s="2"/>
    </row>
    <row r="20" spans="1:14">
      <c r="A20" s="46" t="s">
        <v>59</v>
      </c>
      <c r="B20" s="135">
        <f>(3641.1*1.05)+100</f>
        <v>3923.1550000000002</v>
      </c>
      <c r="C20" s="48">
        <v>80</v>
      </c>
      <c r="D20" s="48">
        <v>20</v>
      </c>
      <c r="E20" s="48">
        <v>100</v>
      </c>
      <c r="F20" s="47">
        <f>3000*1.05</f>
        <v>3150</v>
      </c>
      <c r="G20" s="138">
        <f>SUM(B20:F20)</f>
        <v>7273.1550000000007</v>
      </c>
      <c r="H20" s="52"/>
      <c r="I20" s="53"/>
      <c r="K20" s="52"/>
      <c r="L20" s="55"/>
      <c r="M20" s="10"/>
    </row>
    <row r="21" spans="1:14">
      <c r="A21" s="46" t="s">
        <v>250</v>
      </c>
      <c r="B21" s="135">
        <f>(2713.6*1.05)+100</f>
        <v>2949.28</v>
      </c>
      <c r="C21" s="48">
        <v>80</v>
      </c>
      <c r="D21" s="48">
        <v>20</v>
      </c>
      <c r="E21" s="48">
        <v>100</v>
      </c>
      <c r="F21" s="47">
        <f>2500*1.05</f>
        <v>2625</v>
      </c>
      <c r="G21" s="138">
        <f>SUM(B21:F21)</f>
        <v>5774.2800000000007</v>
      </c>
      <c r="H21" s="52"/>
      <c r="I21" s="53"/>
      <c r="K21" s="52"/>
      <c r="L21" s="55"/>
      <c r="M21" s="10"/>
    </row>
    <row r="22" spans="1:14" ht="30">
      <c r="A22" s="170" t="s">
        <v>252</v>
      </c>
      <c r="B22" s="135">
        <f>(3000*1.05)+100</f>
        <v>3250</v>
      </c>
      <c r="C22" s="48">
        <v>80</v>
      </c>
      <c r="D22" s="48">
        <v>20</v>
      </c>
      <c r="E22" s="48">
        <v>100</v>
      </c>
      <c r="F22" s="135">
        <f>1250*1.05</f>
        <v>1312.5</v>
      </c>
      <c r="G22" s="136">
        <f>SUM(B22:F22)</f>
        <v>4762.5</v>
      </c>
      <c r="I22" s="53"/>
      <c r="K22" s="52"/>
      <c r="L22" s="55"/>
      <c r="M22" s="10"/>
    </row>
    <row r="23" spans="1:14">
      <c r="L23" s="49"/>
    </row>
    <row r="24" spans="1:14">
      <c r="A24" s="21" t="s">
        <v>30</v>
      </c>
      <c r="L24" s="49"/>
    </row>
    <row r="25" spans="1:14">
      <c r="A25" t="s">
        <v>266</v>
      </c>
      <c r="L25" s="49"/>
    </row>
    <row r="26" spans="1:14">
      <c r="A26" t="s">
        <v>267</v>
      </c>
      <c r="L26" s="49"/>
    </row>
    <row r="27" spans="1:14">
      <c r="A27" t="s">
        <v>293</v>
      </c>
      <c r="L27" s="49"/>
    </row>
    <row r="28" spans="1:14">
      <c r="L28" s="49"/>
    </row>
    <row r="29" spans="1:14">
      <c r="L29" s="49"/>
    </row>
    <row r="30" spans="1:14" ht="20.25">
      <c r="A30" s="224" t="s">
        <v>265</v>
      </c>
      <c r="B30" s="224"/>
      <c r="C30" s="224"/>
      <c r="D30" s="224"/>
      <c r="E30" s="224"/>
      <c r="F30" s="224"/>
      <c r="G30" s="224"/>
      <c r="H30" s="5"/>
      <c r="I30" s="5"/>
      <c r="J30" s="93"/>
      <c r="K30" s="93"/>
      <c r="L30" s="93"/>
      <c r="M30" s="93"/>
      <c r="N30" s="93"/>
    </row>
    <row r="31" spans="1:14" ht="20.25">
      <c r="A31" s="215" t="s">
        <v>62</v>
      </c>
      <c r="B31" s="215"/>
      <c r="C31" s="215"/>
      <c r="D31" s="215"/>
      <c r="E31" s="215"/>
      <c r="F31" s="215"/>
      <c r="G31" s="215"/>
      <c r="H31" s="195"/>
      <c r="I31" s="195"/>
      <c r="J31" s="94"/>
      <c r="K31" s="94"/>
      <c r="L31" s="94"/>
      <c r="M31" s="94"/>
      <c r="N31" s="94"/>
    </row>
    <row r="32" spans="1:14" ht="18.75">
      <c r="A32" s="40"/>
      <c r="B32" s="212" t="s">
        <v>166</v>
      </c>
      <c r="C32" s="213"/>
      <c r="D32" s="213"/>
      <c r="E32" s="213"/>
      <c r="F32" s="213"/>
      <c r="G32" s="213"/>
      <c r="H32" s="189"/>
      <c r="I32" s="189"/>
      <c r="J32" s="218"/>
      <c r="K32" s="218"/>
      <c r="L32" s="218"/>
      <c r="M32" s="218"/>
      <c r="N32" s="218"/>
    </row>
    <row r="33" spans="1:14" ht="42.75">
      <c r="A33" s="41" t="s">
        <v>1</v>
      </c>
      <c r="B33" s="42" t="s">
        <v>2</v>
      </c>
      <c r="C33" s="43" t="s">
        <v>3</v>
      </c>
      <c r="D33" s="44" t="s">
        <v>57</v>
      </c>
      <c r="E33" s="3" t="s">
        <v>274</v>
      </c>
      <c r="F33" s="45" t="s">
        <v>58</v>
      </c>
      <c r="G33" s="70" t="s">
        <v>6</v>
      </c>
      <c r="H33" s="71"/>
      <c r="I33" s="32"/>
      <c r="J33" s="59"/>
      <c r="K33" s="60"/>
      <c r="L33" s="58"/>
    </row>
    <row r="34" spans="1:14" ht="15.75">
      <c r="A34" s="40"/>
      <c r="B34" s="6" t="s">
        <v>8</v>
      </c>
      <c r="C34" s="6" t="s">
        <v>8</v>
      </c>
      <c r="D34" s="6" t="s">
        <v>8</v>
      </c>
      <c r="E34" s="6" t="s">
        <v>8</v>
      </c>
      <c r="F34" s="6" t="s">
        <v>8</v>
      </c>
      <c r="G34" s="72" t="s">
        <v>8</v>
      </c>
      <c r="H34" s="73"/>
      <c r="I34" s="2"/>
      <c r="J34" s="2"/>
      <c r="K34" s="2"/>
      <c r="L34" s="2"/>
    </row>
    <row r="35" spans="1:14" ht="15.75">
      <c r="A35" s="51" t="s">
        <v>165</v>
      </c>
      <c r="B35" s="135">
        <f>(3964.665*1.05)+100</f>
        <v>4262.8982500000002</v>
      </c>
      <c r="C35" s="48">
        <v>80</v>
      </c>
      <c r="D35" s="48">
        <v>20</v>
      </c>
      <c r="E35" s="48">
        <v>100</v>
      </c>
      <c r="F35" s="47">
        <f>800*1.05</f>
        <v>840</v>
      </c>
      <c r="G35" s="139">
        <f t="shared" ref="G35:G41" si="0">SUM(B35:F35)</f>
        <v>5302.8982500000002</v>
      </c>
      <c r="H35" s="74"/>
      <c r="I35" s="53"/>
      <c r="K35" s="52"/>
      <c r="L35" s="55"/>
    </row>
    <row r="36" spans="1:14" ht="15.75">
      <c r="A36" s="51" t="s">
        <v>64</v>
      </c>
      <c r="B36" s="135">
        <f>(3243.865*1.05)+100</f>
        <v>3506.05825</v>
      </c>
      <c r="C36" s="48">
        <v>80</v>
      </c>
      <c r="D36" s="48">
        <v>20</v>
      </c>
      <c r="E36" s="48">
        <v>100</v>
      </c>
      <c r="F36" s="47">
        <f t="shared" ref="F36:F41" si="1">800*1.05</f>
        <v>840</v>
      </c>
      <c r="G36" s="139">
        <f t="shared" si="0"/>
        <v>4546.05825</v>
      </c>
      <c r="H36" s="74"/>
      <c r="I36" s="53"/>
      <c r="K36" s="52"/>
      <c r="L36" s="55"/>
    </row>
    <row r="37" spans="1:14" ht="15.75">
      <c r="A37" s="51" t="s">
        <v>65</v>
      </c>
      <c r="B37" s="135">
        <f>(3243.865*1.05)+100</f>
        <v>3506.05825</v>
      </c>
      <c r="C37" s="48">
        <v>80</v>
      </c>
      <c r="D37" s="48">
        <v>20</v>
      </c>
      <c r="E37" s="48">
        <v>100</v>
      </c>
      <c r="F37" s="47">
        <f t="shared" si="1"/>
        <v>840</v>
      </c>
      <c r="G37" s="139">
        <f t="shared" si="0"/>
        <v>4546.05825</v>
      </c>
      <c r="H37" s="74"/>
      <c r="I37" s="53"/>
      <c r="K37" s="52"/>
      <c r="L37" s="55"/>
    </row>
    <row r="38" spans="1:14" ht="15.75">
      <c r="A38" s="51" t="s">
        <v>66</v>
      </c>
      <c r="B38" s="127">
        <f>(3964.665*1.05)+100</f>
        <v>4262.8982500000002</v>
      </c>
      <c r="C38" s="48">
        <v>80</v>
      </c>
      <c r="D38" s="48">
        <v>20</v>
      </c>
      <c r="E38" s="48">
        <v>100</v>
      </c>
      <c r="F38" s="47">
        <f t="shared" si="1"/>
        <v>840</v>
      </c>
      <c r="G38" s="140">
        <f t="shared" si="0"/>
        <v>5302.8982500000002</v>
      </c>
      <c r="H38" s="52"/>
      <c r="I38" s="53"/>
      <c r="K38" s="52"/>
      <c r="L38" s="55"/>
    </row>
    <row r="39" spans="1:14" ht="15.75">
      <c r="A39" s="51" t="s">
        <v>67</v>
      </c>
      <c r="B39" s="127">
        <f>(3243.865*1.05)+100</f>
        <v>3506.05825</v>
      </c>
      <c r="C39" s="48">
        <v>80</v>
      </c>
      <c r="D39" s="48">
        <v>20</v>
      </c>
      <c r="E39" s="48">
        <v>100</v>
      </c>
      <c r="F39" s="47">
        <f t="shared" si="1"/>
        <v>840</v>
      </c>
      <c r="G39" s="140">
        <f t="shared" si="0"/>
        <v>4546.05825</v>
      </c>
      <c r="H39" s="52"/>
      <c r="I39" s="53"/>
      <c r="K39" s="52"/>
      <c r="L39" s="55"/>
    </row>
    <row r="40" spans="1:14" ht="15.75">
      <c r="A40" s="51" t="s">
        <v>68</v>
      </c>
      <c r="B40" s="127">
        <f>(3243.865*1.05)+100</f>
        <v>3506.05825</v>
      </c>
      <c r="C40" s="48">
        <v>80</v>
      </c>
      <c r="D40" s="48">
        <v>20</v>
      </c>
      <c r="E40" s="48">
        <v>100</v>
      </c>
      <c r="F40" s="47">
        <f t="shared" si="1"/>
        <v>840</v>
      </c>
      <c r="G40" s="140">
        <f t="shared" si="0"/>
        <v>4546.05825</v>
      </c>
      <c r="H40" s="52"/>
      <c r="I40" s="53"/>
      <c r="K40" s="52"/>
      <c r="L40" s="55"/>
    </row>
    <row r="41" spans="1:14" ht="15.75">
      <c r="A41" s="51" t="s">
        <v>69</v>
      </c>
      <c r="B41" s="127">
        <f>(3243.865*1.05)+100</f>
        <v>3506.05825</v>
      </c>
      <c r="C41" s="48">
        <v>80</v>
      </c>
      <c r="D41" s="48">
        <v>20</v>
      </c>
      <c r="E41" s="48">
        <v>100</v>
      </c>
      <c r="F41" s="47">
        <f t="shared" si="1"/>
        <v>840</v>
      </c>
      <c r="G41" s="140">
        <f t="shared" si="0"/>
        <v>4546.05825</v>
      </c>
      <c r="H41" s="52"/>
      <c r="I41" s="53"/>
      <c r="K41" s="52"/>
      <c r="L41" s="55"/>
    </row>
    <row r="42" spans="1:14" ht="15.75">
      <c r="A42" s="7"/>
      <c r="B42" s="52"/>
      <c r="C42" s="53"/>
      <c r="D42" s="53"/>
      <c r="E42" s="53"/>
      <c r="F42" s="53"/>
      <c r="G42" s="53"/>
      <c r="H42" s="52"/>
      <c r="I42" s="54"/>
      <c r="J42" s="52"/>
      <c r="K42" s="53"/>
      <c r="L42" s="53"/>
      <c r="M42" s="52"/>
      <c r="N42" s="55"/>
    </row>
    <row r="43" spans="1:14" ht="15.75">
      <c r="A43" s="7"/>
      <c r="B43" s="52"/>
      <c r="C43" s="53"/>
      <c r="D43" s="53"/>
      <c r="E43" s="53"/>
      <c r="F43" s="53"/>
      <c r="G43" s="53"/>
      <c r="H43" s="52"/>
      <c r="I43" s="55"/>
      <c r="J43" s="52"/>
      <c r="K43" s="53"/>
      <c r="L43" s="53"/>
      <c r="M43" s="52"/>
      <c r="N43" s="55"/>
    </row>
    <row r="44" spans="1:14" ht="15.75">
      <c r="A44" s="21" t="s">
        <v>30</v>
      </c>
      <c r="K44" s="56"/>
      <c r="L44" s="56"/>
      <c r="M44" s="57"/>
      <c r="N44" s="55"/>
    </row>
    <row r="45" spans="1:14">
      <c r="A45" t="s">
        <v>261</v>
      </c>
      <c r="L45" s="49"/>
    </row>
    <row r="46" spans="1:14">
      <c r="L46" s="49"/>
    </row>
    <row r="47" spans="1:14">
      <c r="L47" s="49"/>
    </row>
    <row r="48" spans="1:14">
      <c r="L48" s="49"/>
    </row>
    <row r="49" spans="1:14" ht="20.25">
      <c r="A49" s="205" t="s">
        <v>265</v>
      </c>
      <c r="B49" s="205"/>
      <c r="C49" s="205"/>
      <c r="D49" s="205"/>
      <c r="E49" s="205"/>
      <c r="F49" s="205"/>
      <c r="G49" s="205"/>
      <c r="H49" s="197"/>
      <c r="I49" s="197"/>
      <c r="J49" s="93"/>
      <c r="K49" s="93"/>
      <c r="L49" s="93"/>
      <c r="M49" s="93"/>
      <c r="N49" s="93"/>
    </row>
    <row r="50" spans="1:14" ht="20.25">
      <c r="A50" s="215" t="s">
        <v>70</v>
      </c>
      <c r="B50" s="215"/>
      <c r="C50" s="215"/>
      <c r="D50" s="215"/>
      <c r="E50" s="215"/>
      <c r="F50" s="215"/>
      <c r="G50" s="215"/>
      <c r="H50" s="195"/>
      <c r="I50" s="195"/>
      <c r="J50" s="94"/>
      <c r="K50" s="94"/>
      <c r="L50" s="94"/>
      <c r="M50" s="94"/>
      <c r="N50" s="94"/>
    </row>
    <row r="51" spans="1:14" ht="18.75">
      <c r="A51" s="40"/>
      <c r="B51" s="212" t="s">
        <v>164</v>
      </c>
      <c r="C51" s="213"/>
      <c r="D51" s="213"/>
      <c r="E51" s="213"/>
      <c r="F51" s="213"/>
      <c r="G51" s="213"/>
      <c r="H51" s="189"/>
      <c r="I51" s="189"/>
      <c r="J51" s="218"/>
      <c r="K51" s="218"/>
      <c r="L51" s="218"/>
      <c r="M51" s="218"/>
      <c r="N51" s="218"/>
    </row>
    <row r="52" spans="1:14" ht="42.75">
      <c r="A52" s="41" t="s">
        <v>1</v>
      </c>
      <c r="B52" s="42" t="s">
        <v>2</v>
      </c>
      <c r="C52" s="43" t="s">
        <v>3</v>
      </c>
      <c r="D52" s="44" t="s">
        <v>57</v>
      </c>
      <c r="E52" s="3" t="s">
        <v>274</v>
      </c>
      <c r="F52" s="45" t="s">
        <v>58</v>
      </c>
      <c r="G52" s="70" t="s">
        <v>6</v>
      </c>
      <c r="H52" s="3"/>
      <c r="I52" s="58"/>
      <c r="J52" s="59"/>
      <c r="K52" s="60"/>
      <c r="L52" s="58"/>
    </row>
    <row r="53" spans="1:14" ht="15.75">
      <c r="A53" s="40"/>
      <c r="B53" s="6" t="s">
        <v>8</v>
      </c>
      <c r="C53" s="6" t="s">
        <v>8</v>
      </c>
      <c r="D53" s="6" t="s">
        <v>8</v>
      </c>
      <c r="E53" s="6" t="s">
        <v>8</v>
      </c>
      <c r="F53" s="6" t="s">
        <v>8</v>
      </c>
      <c r="G53" s="72" t="s">
        <v>8</v>
      </c>
      <c r="H53" s="73"/>
      <c r="I53" s="2"/>
      <c r="J53" s="2"/>
      <c r="K53" s="2"/>
      <c r="L53" s="2"/>
    </row>
    <row r="54" spans="1:14" ht="15.75">
      <c r="A54" s="51" t="s">
        <v>71</v>
      </c>
      <c r="B54" s="135">
        <f>(4097*1.05)+100</f>
        <v>4401.8500000000004</v>
      </c>
      <c r="C54" s="48">
        <v>80</v>
      </c>
      <c r="D54" s="48">
        <v>20</v>
      </c>
      <c r="E54" s="48">
        <v>100</v>
      </c>
      <c r="F54" s="47">
        <v>600</v>
      </c>
      <c r="G54" s="139">
        <f>SUM(B54:F54)</f>
        <v>5201.8500000000004</v>
      </c>
      <c r="H54" s="74"/>
      <c r="I54" s="53"/>
      <c r="K54" s="52"/>
      <c r="L54" s="55"/>
    </row>
    <row r="55" spans="1:14" ht="15.75">
      <c r="A55" s="51" t="s">
        <v>73</v>
      </c>
      <c r="B55" s="135">
        <f>(3074*1.05)+100</f>
        <v>3327.7000000000003</v>
      </c>
      <c r="C55" s="48">
        <v>80</v>
      </c>
      <c r="D55" s="48">
        <v>20</v>
      </c>
      <c r="E55" s="48">
        <v>100</v>
      </c>
      <c r="F55" s="47">
        <v>0</v>
      </c>
      <c r="G55" s="139">
        <f>SUM(B55:F55)</f>
        <v>3527.7000000000003</v>
      </c>
      <c r="H55" s="74"/>
      <c r="I55" s="53"/>
      <c r="K55" s="53"/>
      <c r="L55" s="55"/>
    </row>
    <row r="56" spans="1:14" ht="15.75">
      <c r="A56" s="51" t="s">
        <v>74</v>
      </c>
      <c r="B56" s="135">
        <f>(3074*1.05)+100</f>
        <v>3327.7000000000003</v>
      </c>
      <c r="C56" s="48">
        <v>80</v>
      </c>
      <c r="D56" s="48">
        <v>20</v>
      </c>
      <c r="E56" s="48">
        <v>100</v>
      </c>
      <c r="F56" s="47">
        <v>0</v>
      </c>
      <c r="G56" s="139">
        <f>SUM(B56:F56)</f>
        <v>3527.7000000000003</v>
      </c>
      <c r="H56" s="74"/>
      <c r="I56" s="53"/>
      <c r="K56" s="53"/>
      <c r="L56" s="55"/>
    </row>
    <row r="57" spans="1:14" ht="15.75">
      <c r="A57" s="7"/>
      <c r="B57" s="57"/>
      <c r="C57" s="56"/>
      <c r="D57" s="56"/>
      <c r="E57" s="56"/>
      <c r="F57" s="56"/>
      <c r="G57" s="56"/>
      <c r="H57" s="57"/>
      <c r="I57" s="54"/>
      <c r="J57" s="57"/>
      <c r="K57" s="56"/>
      <c r="L57" s="56"/>
      <c r="M57" s="56"/>
      <c r="N57" s="55"/>
    </row>
    <row r="58" spans="1:14" ht="15.75">
      <c r="A58" s="21" t="s">
        <v>30</v>
      </c>
      <c r="B58" s="57"/>
      <c r="C58" s="56"/>
      <c r="D58" s="56"/>
      <c r="E58" s="56"/>
      <c r="F58" s="56"/>
      <c r="G58" s="56"/>
      <c r="H58" s="57"/>
      <c r="I58" s="54"/>
      <c r="J58" s="57"/>
      <c r="K58" s="56"/>
      <c r="L58" s="56"/>
      <c r="M58" s="56"/>
      <c r="N58" s="55"/>
    </row>
    <row r="59" spans="1:14" ht="15.75">
      <c r="A59" t="s">
        <v>261</v>
      </c>
      <c r="B59" s="57"/>
      <c r="C59" s="56"/>
      <c r="D59" s="56"/>
      <c r="E59" s="56"/>
      <c r="F59" s="56"/>
      <c r="G59" s="56"/>
      <c r="H59" s="57"/>
      <c r="I59" s="54"/>
      <c r="J59" s="57"/>
      <c r="K59" s="56"/>
      <c r="L59" s="56"/>
      <c r="M59" s="56"/>
      <c r="N59" s="55"/>
    </row>
    <row r="60" spans="1:14" ht="15.75">
      <c r="B60" s="57"/>
      <c r="C60" s="56"/>
      <c r="D60" s="56"/>
      <c r="E60" s="56"/>
      <c r="F60" s="56"/>
      <c r="G60" s="56"/>
      <c r="H60" s="57"/>
      <c r="I60" s="54"/>
      <c r="J60" s="57"/>
      <c r="K60" s="56"/>
      <c r="L60" s="56"/>
      <c r="M60" s="56"/>
      <c r="N60" s="55"/>
    </row>
    <row r="61" spans="1:14" ht="15.75">
      <c r="B61" s="57"/>
      <c r="C61" s="56"/>
      <c r="D61" s="56"/>
      <c r="E61" s="56"/>
      <c r="F61" s="56"/>
      <c r="G61" s="56"/>
      <c r="H61" s="57"/>
      <c r="I61" s="54"/>
      <c r="J61" s="57"/>
      <c r="K61" s="56"/>
      <c r="L61" s="56"/>
      <c r="M61" s="56"/>
      <c r="N61" s="55"/>
    </row>
    <row r="62" spans="1:14" ht="15.75">
      <c r="B62" s="57"/>
      <c r="C62" s="56"/>
      <c r="D62" s="56"/>
      <c r="E62" s="56"/>
      <c r="F62" s="56"/>
      <c r="G62" s="56"/>
      <c r="H62" s="57"/>
      <c r="I62" s="54"/>
      <c r="J62" s="57"/>
      <c r="K62" s="56"/>
      <c r="L62" s="56"/>
      <c r="M62" s="56"/>
      <c r="N62" s="55"/>
    </row>
    <row r="63" spans="1:14" ht="20.25">
      <c r="A63" s="205" t="s">
        <v>265</v>
      </c>
      <c r="B63" s="205"/>
      <c r="C63" s="205"/>
      <c r="D63" s="205"/>
      <c r="E63" s="205"/>
      <c r="F63" s="205"/>
      <c r="G63" s="205"/>
      <c r="H63" s="205"/>
      <c r="I63" s="205"/>
      <c r="J63" s="93"/>
      <c r="K63" s="93"/>
      <c r="L63" s="93"/>
      <c r="M63" s="93"/>
      <c r="N63" s="93"/>
    </row>
    <row r="64" spans="1:14" ht="20.25">
      <c r="A64" s="215" t="s">
        <v>75</v>
      </c>
      <c r="B64" s="215"/>
      <c r="C64" s="215"/>
      <c r="D64" s="215"/>
      <c r="E64" s="215"/>
      <c r="F64" s="215"/>
      <c r="G64" s="215"/>
      <c r="H64" s="215"/>
      <c r="I64" s="225"/>
      <c r="J64" s="94"/>
      <c r="K64" s="94"/>
      <c r="L64" s="94"/>
      <c r="M64" s="94"/>
      <c r="N64" s="94"/>
    </row>
    <row r="65" spans="1:15" ht="18.75">
      <c r="A65" s="40"/>
      <c r="B65" s="223" t="s">
        <v>227</v>
      </c>
      <c r="C65" s="223"/>
      <c r="D65" s="223"/>
      <c r="E65" s="223"/>
      <c r="F65" s="223"/>
      <c r="G65" s="223"/>
      <c r="H65" s="223"/>
      <c r="I65" s="189"/>
      <c r="J65" s="218"/>
      <c r="K65" s="218"/>
      <c r="L65" s="218"/>
      <c r="M65" s="218"/>
      <c r="N65" s="218"/>
    </row>
    <row r="66" spans="1:15" ht="42.75">
      <c r="A66" s="41" t="s">
        <v>1</v>
      </c>
      <c r="B66" s="42" t="s">
        <v>2</v>
      </c>
      <c r="C66" s="43" t="s">
        <v>3</v>
      </c>
      <c r="D66" s="44" t="s">
        <v>57</v>
      </c>
      <c r="E66" s="3" t="s">
        <v>274</v>
      </c>
      <c r="F66" s="3" t="s">
        <v>208</v>
      </c>
      <c r="G66" s="45" t="s">
        <v>58</v>
      </c>
      <c r="H66" s="70" t="s">
        <v>6</v>
      </c>
      <c r="I66" s="71"/>
      <c r="J66" s="58"/>
      <c r="K66" s="59"/>
      <c r="L66" s="60"/>
      <c r="M66" s="58"/>
    </row>
    <row r="67" spans="1:15" ht="15.75">
      <c r="A67" s="40"/>
      <c r="B67" s="6" t="s">
        <v>8</v>
      </c>
      <c r="C67" s="6" t="s">
        <v>8</v>
      </c>
      <c r="D67" s="6" t="s">
        <v>8</v>
      </c>
      <c r="E67" s="6" t="s">
        <v>8</v>
      </c>
      <c r="F67" s="6" t="s">
        <v>8</v>
      </c>
      <c r="G67" s="6" t="s">
        <v>8</v>
      </c>
      <c r="H67" s="72" t="s">
        <v>8</v>
      </c>
      <c r="I67" s="73"/>
      <c r="J67" s="2"/>
      <c r="K67" s="111"/>
      <c r="L67" s="2"/>
      <c r="M67" s="2"/>
    </row>
    <row r="68" spans="1:15" ht="15.75">
      <c r="A68" s="51" t="s">
        <v>76</v>
      </c>
      <c r="B68" s="137">
        <f>(5046*1.05)+100</f>
        <v>5398.3</v>
      </c>
      <c r="C68" s="48">
        <v>80</v>
      </c>
      <c r="D68" s="48">
        <v>20</v>
      </c>
      <c r="E68" s="48">
        <v>100</v>
      </c>
      <c r="F68" s="48"/>
      <c r="G68" s="61">
        <v>1500</v>
      </c>
      <c r="H68" s="138">
        <f>SUM(B68:G68)</f>
        <v>7098.3</v>
      </c>
      <c r="I68" s="75"/>
      <c r="J68" s="64"/>
      <c r="L68" s="63"/>
      <c r="M68" s="55"/>
    </row>
    <row r="69" spans="1:15" ht="18.75">
      <c r="A69" s="7"/>
      <c r="B69" s="223" t="s">
        <v>289</v>
      </c>
      <c r="C69" s="223"/>
      <c r="D69" s="223"/>
      <c r="E69" s="223"/>
      <c r="F69" s="223"/>
      <c r="G69" s="223"/>
      <c r="H69" s="223"/>
      <c r="I69" s="63"/>
      <c r="J69" s="64"/>
      <c r="L69" s="63"/>
      <c r="M69" s="55"/>
    </row>
    <row r="70" spans="1:15">
      <c r="A70" s="199" t="s">
        <v>288</v>
      </c>
      <c r="B70" s="198">
        <f>(5500*1.05)+100</f>
        <v>5875</v>
      </c>
      <c r="C70" s="190">
        <v>80</v>
      </c>
      <c r="D70" s="191">
        <v>20</v>
      </c>
      <c r="E70" s="192">
        <v>0</v>
      </c>
      <c r="F70" s="192">
        <v>200</v>
      </c>
      <c r="G70" s="191">
        <v>0</v>
      </c>
      <c r="H70" s="193">
        <f>SUM(B70:G70)</f>
        <v>6175</v>
      </c>
      <c r="J70" s="187"/>
      <c r="K70" s="63"/>
      <c r="L70" s="64"/>
      <c r="N70" s="63"/>
      <c r="O70" s="55"/>
    </row>
    <row r="71" spans="1:15" ht="18.75">
      <c r="A71" s="7"/>
      <c r="B71" s="223" t="s">
        <v>290</v>
      </c>
      <c r="C71" s="223"/>
      <c r="D71" s="223"/>
      <c r="E71" s="223"/>
      <c r="F71" s="223"/>
      <c r="G71" s="223"/>
      <c r="H71" s="223"/>
      <c r="I71" s="187"/>
      <c r="J71" s="63"/>
      <c r="K71" s="64"/>
      <c r="M71" s="63"/>
      <c r="N71" s="55"/>
    </row>
    <row r="72" spans="1:15" ht="15.75">
      <c r="A72" s="200" t="s">
        <v>253</v>
      </c>
      <c r="B72" s="198">
        <f>5300+100</f>
        <v>5400</v>
      </c>
      <c r="C72" s="190">
        <v>80</v>
      </c>
      <c r="D72" s="191">
        <v>20</v>
      </c>
      <c r="E72" s="192">
        <v>0</v>
      </c>
      <c r="F72" s="192">
        <v>0</v>
      </c>
      <c r="G72" s="191">
        <v>0</v>
      </c>
      <c r="H72" s="193">
        <f>SUM(B72:G72)</f>
        <v>5500</v>
      </c>
      <c r="I72" s="187"/>
      <c r="J72" s="63"/>
      <c r="K72" s="64"/>
      <c r="M72" s="63"/>
      <c r="N72" s="55"/>
    </row>
    <row r="73" spans="1:15" ht="15.75">
      <c r="A73" s="7"/>
      <c r="B73" s="188"/>
      <c r="C73" s="53"/>
      <c r="D73" s="53"/>
      <c r="E73" s="53"/>
      <c r="F73" s="53"/>
      <c r="G73" s="53"/>
      <c r="H73" s="63"/>
      <c r="I73" s="187"/>
      <c r="J73" s="63"/>
      <c r="K73" s="64"/>
      <c r="M73" s="63"/>
      <c r="N73" s="55"/>
    </row>
    <row r="74" spans="1:15" ht="15.75">
      <c r="A74" s="7"/>
      <c r="B74" s="188"/>
      <c r="C74" s="53"/>
      <c r="D74" s="53"/>
      <c r="E74" s="53"/>
      <c r="F74" s="53"/>
      <c r="G74" s="53"/>
      <c r="H74" s="63"/>
      <c r="I74" s="187"/>
      <c r="J74" s="63"/>
      <c r="K74" s="64"/>
      <c r="M74" s="63"/>
      <c r="N74" s="55"/>
    </row>
    <row r="75" spans="1:15" ht="15.75">
      <c r="A75" s="7"/>
      <c r="B75" s="188"/>
      <c r="C75" s="53"/>
      <c r="D75" s="53"/>
      <c r="E75" s="53"/>
      <c r="F75" s="53"/>
      <c r="G75" s="53"/>
      <c r="H75" s="63"/>
      <c r="I75" s="187"/>
      <c r="J75" s="63"/>
      <c r="K75" s="64"/>
      <c r="M75" s="63"/>
      <c r="N75" s="55"/>
    </row>
    <row r="76" spans="1:15" ht="15.75">
      <c r="A76" s="7"/>
      <c r="B76" s="57"/>
      <c r="C76" s="56"/>
      <c r="D76" s="56"/>
      <c r="E76" s="53"/>
      <c r="F76" s="53"/>
      <c r="G76" s="53"/>
      <c r="H76" s="57"/>
      <c r="I76" s="54"/>
      <c r="J76" s="57"/>
      <c r="K76" s="56"/>
      <c r="L76" s="56"/>
      <c r="M76" s="57"/>
      <c r="N76" s="55"/>
    </row>
    <row r="77" spans="1:15" ht="15.75">
      <c r="A77" s="21" t="s">
        <v>30</v>
      </c>
      <c r="B77" s="57"/>
      <c r="C77" s="56"/>
      <c r="D77" s="56"/>
      <c r="E77" s="56"/>
      <c r="F77" s="56"/>
      <c r="G77" s="56"/>
      <c r="H77" s="57"/>
      <c r="I77" s="54"/>
      <c r="J77" s="57"/>
      <c r="K77" s="56"/>
      <c r="L77" s="56"/>
      <c r="M77" s="57"/>
      <c r="N77" s="55"/>
    </row>
    <row r="78" spans="1:15" ht="15.75">
      <c r="A78" t="s">
        <v>297</v>
      </c>
      <c r="B78" s="57"/>
      <c r="C78" s="56"/>
      <c r="D78" s="56"/>
      <c r="E78" s="56"/>
      <c r="F78" s="56"/>
      <c r="G78" s="56"/>
      <c r="H78" s="57"/>
      <c r="I78" s="54"/>
      <c r="J78" s="57"/>
      <c r="K78" s="56"/>
      <c r="L78" s="56"/>
      <c r="M78" s="57"/>
      <c r="N78" s="55"/>
    </row>
    <row r="79" spans="1:15" ht="15.75">
      <c r="A79" s="7"/>
      <c r="B79" s="57"/>
      <c r="C79" s="56"/>
      <c r="D79" s="56"/>
      <c r="E79" s="56"/>
      <c r="F79" s="56"/>
      <c r="G79" s="56"/>
      <c r="H79" s="57"/>
      <c r="I79" s="54"/>
      <c r="J79" s="57"/>
      <c r="K79" s="56"/>
      <c r="L79" s="56"/>
      <c r="M79" s="57"/>
      <c r="N79" s="55"/>
    </row>
    <row r="80" spans="1:15" ht="15.75">
      <c r="A80" s="7"/>
      <c r="B80" s="57"/>
      <c r="C80" s="56"/>
      <c r="D80" s="56"/>
      <c r="E80" s="56"/>
      <c r="F80" s="56"/>
      <c r="G80" s="56"/>
      <c r="H80" s="57"/>
      <c r="I80" s="54"/>
      <c r="J80" s="57"/>
      <c r="K80" s="56"/>
      <c r="L80" s="56"/>
      <c r="M80" s="57"/>
      <c r="N80" s="55"/>
    </row>
    <row r="81" spans="1:14" ht="15.75">
      <c r="A81" s="7"/>
      <c r="B81" s="57"/>
      <c r="C81" s="56"/>
      <c r="D81" s="56"/>
      <c r="E81" s="56"/>
      <c r="F81" s="56"/>
      <c r="G81" s="56"/>
      <c r="H81" s="57"/>
      <c r="I81" s="54"/>
      <c r="J81" s="57"/>
      <c r="K81" s="56"/>
      <c r="L81" s="56"/>
      <c r="M81" s="57"/>
      <c r="N81" s="55"/>
    </row>
    <row r="83" spans="1:14" ht="20.25">
      <c r="A83" s="205" t="s">
        <v>265</v>
      </c>
      <c r="B83" s="205"/>
      <c r="C83" s="205"/>
      <c r="D83" s="205"/>
      <c r="E83" s="205"/>
      <c r="F83" s="205"/>
      <c r="G83" s="205"/>
      <c r="H83" s="197"/>
      <c r="I83" s="197"/>
      <c r="J83" s="93"/>
      <c r="K83" s="93"/>
      <c r="L83" s="93"/>
      <c r="M83" s="93"/>
      <c r="N83" s="93"/>
    </row>
    <row r="84" spans="1:14" ht="20.25">
      <c r="A84" s="215" t="s">
        <v>77</v>
      </c>
      <c r="B84" s="215"/>
      <c r="C84" s="215"/>
      <c r="D84" s="215"/>
      <c r="E84" s="215"/>
      <c r="F84" s="215"/>
      <c r="G84" s="215"/>
      <c r="H84" s="195"/>
      <c r="I84" s="195"/>
      <c r="J84" s="94"/>
      <c r="K84" s="94"/>
      <c r="L84" s="94"/>
      <c r="M84" s="94"/>
      <c r="N84" s="94"/>
    </row>
    <row r="85" spans="1:14" ht="18.75">
      <c r="A85" s="40"/>
      <c r="B85" s="212" t="s">
        <v>164</v>
      </c>
      <c r="C85" s="213"/>
      <c r="D85" s="213"/>
      <c r="E85" s="213"/>
      <c r="F85" s="213"/>
      <c r="G85" s="213"/>
      <c r="H85" s="189"/>
      <c r="I85" s="189"/>
      <c r="J85" s="218"/>
      <c r="K85" s="218"/>
      <c r="L85" s="218"/>
      <c r="M85" s="218"/>
      <c r="N85" s="218"/>
    </row>
    <row r="86" spans="1:14" ht="42.75">
      <c r="A86" s="41" t="s">
        <v>1</v>
      </c>
      <c r="B86" s="42" t="s">
        <v>2</v>
      </c>
      <c r="C86" s="43" t="s">
        <v>3</v>
      </c>
      <c r="D86" s="44" t="s">
        <v>57</v>
      </c>
      <c r="E86" s="3" t="s">
        <v>274</v>
      </c>
      <c r="F86" s="45" t="s">
        <v>58</v>
      </c>
      <c r="G86" s="70" t="s">
        <v>6</v>
      </c>
      <c r="H86" s="71"/>
      <c r="I86" s="58"/>
      <c r="J86" s="59"/>
      <c r="K86" s="60"/>
      <c r="L86" s="58"/>
    </row>
    <row r="87" spans="1:14" ht="15.75">
      <c r="A87" s="40"/>
      <c r="B87" s="65" t="s">
        <v>32</v>
      </c>
      <c r="C87" s="65" t="s">
        <v>32</v>
      </c>
      <c r="D87" s="65" t="s">
        <v>32</v>
      </c>
      <c r="E87" s="6" t="s">
        <v>32</v>
      </c>
      <c r="F87" s="65" t="s">
        <v>32</v>
      </c>
      <c r="G87" s="76" t="s">
        <v>32</v>
      </c>
      <c r="H87" s="77"/>
      <c r="I87" s="78"/>
      <c r="J87" s="78"/>
      <c r="K87" s="78"/>
      <c r="L87" s="78"/>
    </row>
    <row r="88" spans="1:14" ht="15.75">
      <c r="A88" s="51" t="s">
        <v>60</v>
      </c>
      <c r="B88" s="135">
        <f>1571+16</f>
        <v>1587</v>
      </c>
      <c r="C88" s="62">
        <v>9</v>
      </c>
      <c r="D88" s="62">
        <v>2</v>
      </c>
      <c r="E88" s="62">
        <v>15</v>
      </c>
      <c r="F88" s="61">
        <v>165</v>
      </c>
      <c r="G88" s="139">
        <f>SUM(B88:F88)</f>
        <v>1778</v>
      </c>
      <c r="H88" s="75"/>
      <c r="I88" s="64"/>
      <c r="J88" s="64"/>
      <c r="K88" s="63"/>
      <c r="L88" s="55"/>
    </row>
    <row r="89" spans="1:14" ht="15.75">
      <c r="A89" s="51" t="s">
        <v>61</v>
      </c>
      <c r="B89" s="135">
        <f>3351+16</f>
        <v>3367</v>
      </c>
      <c r="C89" s="62">
        <v>9</v>
      </c>
      <c r="D89" s="62">
        <v>2</v>
      </c>
      <c r="E89" s="62">
        <v>15</v>
      </c>
      <c r="F89" s="61">
        <v>165</v>
      </c>
      <c r="G89" s="139">
        <f>SUM(B89:F89)</f>
        <v>3558</v>
      </c>
      <c r="H89" s="75"/>
      <c r="I89" s="64"/>
      <c r="J89" s="64"/>
      <c r="K89" s="63"/>
      <c r="L89" s="55"/>
    </row>
    <row r="90" spans="1:14" ht="15.75">
      <c r="A90" s="7"/>
      <c r="B90" s="57"/>
      <c r="C90" s="56"/>
      <c r="D90" s="56"/>
      <c r="E90" s="56"/>
      <c r="F90" s="56"/>
      <c r="G90" s="56"/>
      <c r="H90" s="57"/>
      <c r="I90" s="54"/>
      <c r="J90" s="57"/>
      <c r="K90" s="56"/>
      <c r="L90" s="56"/>
      <c r="M90" s="57"/>
      <c r="N90" s="55"/>
    </row>
    <row r="91" spans="1:14" ht="15.75">
      <c r="A91" s="32" t="s">
        <v>30</v>
      </c>
      <c r="B91" s="57"/>
      <c r="C91" s="56"/>
      <c r="D91" s="56"/>
      <c r="E91" s="56"/>
      <c r="F91" s="56"/>
      <c r="G91" s="56"/>
      <c r="H91" s="57"/>
      <c r="I91" s="54"/>
      <c r="J91" s="57"/>
      <c r="K91" s="56"/>
      <c r="L91" s="56"/>
      <c r="M91" s="57"/>
      <c r="N91" s="55"/>
    </row>
    <row r="92" spans="1:14" ht="15.75">
      <c r="A92" t="s">
        <v>194</v>
      </c>
      <c r="B92" s="57"/>
      <c r="C92" s="56"/>
      <c r="D92" s="56"/>
      <c r="E92" s="56"/>
      <c r="F92" s="56"/>
      <c r="G92" s="56"/>
      <c r="H92" s="57"/>
      <c r="I92" s="54"/>
      <c r="J92" s="57"/>
      <c r="K92" s="56"/>
      <c r="L92" s="56"/>
      <c r="M92" s="57"/>
      <c r="N92" s="55"/>
    </row>
    <row r="93" spans="1:14" ht="15.75">
      <c r="A93" t="s">
        <v>197</v>
      </c>
      <c r="B93" s="57"/>
      <c r="C93" s="56"/>
      <c r="D93" s="56"/>
      <c r="E93" s="56"/>
      <c r="F93" s="56"/>
      <c r="G93" s="56"/>
      <c r="H93" s="57"/>
      <c r="I93" s="54"/>
      <c r="J93" s="57"/>
      <c r="K93" s="56"/>
      <c r="L93" s="56"/>
      <c r="M93" s="57"/>
      <c r="N93" s="55"/>
    </row>
    <row r="94" spans="1:14" ht="15.75">
      <c r="A94" t="s">
        <v>198</v>
      </c>
      <c r="B94" s="57"/>
      <c r="C94" s="56"/>
      <c r="D94" s="56"/>
      <c r="E94" s="56"/>
      <c r="F94" s="56"/>
      <c r="G94" s="56"/>
      <c r="H94" s="57"/>
      <c r="I94" s="54"/>
      <c r="J94" s="57"/>
      <c r="K94" s="56"/>
      <c r="L94" s="56"/>
      <c r="M94" s="57"/>
      <c r="N94" s="55"/>
    </row>
    <row r="95" spans="1:14" ht="15.75">
      <c r="B95" s="57"/>
      <c r="C95" s="56"/>
      <c r="D95" s="56"/>
      <c r="E95" s="56"/>
      <c r="F95" s="56"/>
      <c r="G95" s="56"/>
      <c r="H95" s="57"/>
      <c r="I95" s="54"/>
      <c r="J95" s="57"/>
      <c r="K95" s="56"/>
      <c r="L95" s="56"/>
      <c r="M95" s="57"/>
      <c r="N95" s="55"/>
    </row>
    <row r="96" spans="1:14" ht="15.75">
      <c r="B96" s="57"/>
      <c r="C96" s="56"/>
      <c r="D96" s="56"/>
      <c r="E96" s="56"/>
      <c r="F96" s="56"/>
      <c r="G96" s="56"/>
      <c r="H96" s="57"/>
      <c r="I96" s="54"/>
      <c r="J96" s="57"/>
      <c r="K96" s="56"/>
      <c r="L96" s="56"/>
      <c r="M96" s="57"/>
      <c r="N96" s="55"/>
    </row>
    <row r="97" spans="1:14" ht="15.75">
      <c r="B97" s="57"/>
      <c r="C97" s="56"/>
      <c r="D97" s="56"/>
      <c r="E97" s="56"/>
      <c r="F97" s="56"/>
      <c r="G97" s="56"/>
      <c r="H97" s="57"/>
      <c r="I97" s="54"/>
      <c r="J97" s="57"/>
      <c r="K97" s="56"/>
      <c r="L97" s="56"/>
      <c r="M97" s="57"/>
      <c r="N97" s="55"/>
    </row>
    <row r="98" spans="1:14" ht="15.75">
      <c r="B98" s="57"/>
      <c r="C98" s="56"/>
      <c r="D98" s="56"/>
      <c r="E98" s="56"/>
      <c r="F98" s="56"/>
      <c r="G98" s="56"/>
      <c r="H98" s="57"/>
      <c r="I98" s="54"/>
      <c r="J98" s="57"/>
      <c r="K98" s="56"/>
      <c r="L98" s="56"/>
      <c r="M98" s="57"/>
      <c r="N98" s="55"/>
    </row>
    <row r="99" spans="1:14" ht="20.25">
      <c r="A99" s="205" t="s">
        <v>265</v>
      </c>
      <c r="B99" s="205"/>
      <c r="C99" s="205"/>
      <c r="D99" s="205"/>
      <c r="E99" s="205"/>
      <c r="F99" s="205"/>
      <c r="G99" s="205"/>
      <c r="H99" s="197"/>
      <c r="I99" s="197"/>
      <c r="J99" s="93"/>
      <c r="K99" s="93"/>
      <c r="L99" s="93"/>
      <c r="M99" s="93"/>
      <c r="N99" s="93"/>
    </row>
    <row r="100" spans="1:14" ht="20.25">
      <c r="A100" s="217" t="s">
        <v>271</v>
      </c>
      <c r="B100" s="217"/>
      <c r="C100" s="217"/>
      <c r="D100" s="217"/>
      <c r="E100" s="217"/>
      <c r="F100" s="217"/>
      <c r="G100" s="217"/>
      <c r="H100" s="196"/>
      <c r="I100" s="196"/>
      <c r="J100" s="196"/>
      <c r="K100" s="94"/>
      <c r="L100" s="94"/>
      <c r="M100" s="94"/>
      <c r="N100" s="94"/>
    </row>
    <row r="101" spans="1:14" ht="18.75">
      <c r="A101" s="40"/>
      <c r="B101" s="212" t="s">
        <v>164</v>
      </c>
      <c r="C101" s="213"/>
      <c r="D101" s="213"/>
      <c r="E101" s="213"/>
      <c r="F101" s="213"/>
      <c r="G101" s="213"/>
      <c r="H101" s="189"/>
      <c r="I101" s="189"/>
      <c r="J101" s="218"/>
      <c r="K101" s="218"/>
      <c r="L101" s="218"/>
      <c r="M101" s="218"/>
      <c r="N101" s="218"/>
    </row>
    <row r="102" spans="1:14" ht="42.75">
      <c r="A102" s="41" t="s">
        <v>1</v>
      </c>
      <c r="B102" s="42" t="s">
        <v>2</v>
      </c>
      <c r="C102" s="43" t="s">
        <v>3</v>
      </c>
      <c r="D102" s="44" t="s">
        <v>57</v>
      </c>
      <c r="E102" s="3" t="s">
        <v>274</v>
      </c>
      <c r="F102" s="45" t="s">
        <v>58</v>
      </c>
      <c r="G102" s="70" t="s">
        <v>6</v>
      </c>
      <c r="H102" s="71"/>
      <c r="I102" s="58"/>
      <c r="J102" s="59"/>
      <c r="K102" s="60"/>
      <c r="L102" s="58"/>
    </row>
    <row r="103" spans="1:14" ht="15.75">
      <c r="A103" s="40"/>
      <c r="B103" s="65" t="s">
        <v>32</v>
      </c>
      <c r="C103" s="65" t="s">
        <v>32</v>
      </c>
      <c r="D103" s="65" t="s">
        <v>32</v>
      </c>
      <c r="E103" s="6" t="s">
        <v>32</v>
      </c>
      <c r="F103" s="65" t="s">
        <v>32</v>
      </c>
      <c r="G103" s="76" t="s">
        <v>32</v>
      </c>
      <c r="H103" s="77"/>
      <c r="I103" s="78"/>
      <c r="J103" s="78"/>
      <c r="K103" s="78"/>
      <c r="L103" s="78"/>
    </row>
    <row r="104" spans="1:14" ht="15.75">
      <c r="A104" s="51" t="s">
        <v>59</v>
      </c>
      <c r="B104" s="137">
        <f>1851+16</f>
        <v>1867</v>
      </c>
      <c r="C104" s="62">
        <v>9</v>
      </c>
      <c r="D104" s="62">
        <v>2</v>
      </c>
      <c r="E104" s="62">
        <v>15</v>
      </c>
      <c r="F104" s="61">
        <v>200</v>
      </c>
      <c r="G104" s="139">
        <f>SUM(B104:F104)</f>
        <v>2093</v>
      </c>
      <c r="H104" s="75"/>
      <c r="I104" s="64"/>
      <c r="J104" s="64"/>
      <c r="K104" s="63"/>
      <c r="L104" s="55"/>
    </row>
    <row r="105" spans="1:14">
      <c r="A105" s="46" t="s">
        <v>81</v>
      </c>
      <c r="B105" s="137">
        <f>1851+16</f>
        <v>1867</v>
      </c>
      <c r="C105" s="62">
        <v>9</v>
      </c>
      <c r="D105" s="62">
        <v>2</v>
      </c>
      <c r="E105" s="62">
        <v>15</v>
      </c>
      <c r="F105" s="61">
        <v>165</v>
      </c>
      <c r="G105" s="139">
        <f>SUM(B105:F105)</f>
        <v>2058</v>
      </c>
      <c r="H105" s="75"/>
      <c r="I105" s="64"/>
      <c r="J105" s="64"/>
      <c r="K105" s="63"/>
      <c r="L105" s="55"/>
    </row>
    <row r="106" spans="1:14" ht="15.75">
      <c r="B106" s="57"/>
      <c r="C106" s="56"/>
      <c r="D106" s="56"/>
      <c r="E106" s="56"/>
      <c r="F106" s="56"/>
      <c r="G106" s="56"/>
      <c r="H106" s="57"/>
      <c r="I106" s="54"/>
      <c r="J106" s="57"/>
      <c r="K106" s="56"/>
      <c r="L106" s="56"/>
      <c r="M106" s="57"/>
      <c r="N106" s="55"/>
    </row>
    <row r="107" spans="1:14" ht="15.75">
      <c r="A107" s="32" t="s">
        <v>30</v>
      </c>
      <c r="B107" s="57"/>
      <c r="C107" s="56"/>
      <c r="D107" s="56"/>
      <c r="E107" s="56"/>
      <c r="F107" s="56"/>
      <c r="G107" s="56"/>
      <c r="H107" s="57"/>
      <c r="I107" s="54"/>
      <c r="J107" s="57"/>
      <c r="K107" s="56"/>
      <c r="L107" s="56"/>
      <c r="M107" s="57"/>
      <c r="N107" s="55"/>
    </row>
    <row r="108" spans="1:14" ht="15.75">
      <c r="A108" t="s">
        <v>299</v>
      </c>
      <c r="B108" s="57"/>
      <c r="C108" s="56"/>
      <c r="D108" s="56"/>
      <c r="E108" s="56"/>
      <c r="F108" s="56"/>
      <c r="G108" s="56"/>
      <c r="H108" s="57"/>
      <c r="I108" s="54"/>
      <c r="J108" s="57"/>
      <c r="K108" s="56"/>
      <c r="L108" s="56"/>
      <c r="M108" s="57"/>
      <c r="N108" s="55"/>
    </row>
    <row r="109" spans="1:14" ht="15.75">
      <c r="A109" t="s">
        <v>300</v>
      </c>
      <c r="B109" s="57"/>
      <c r="C109" s="56"/>
      <c r="D109" s="56"/>
      <c r="E109" s="56"/>
      <c r="F109" s="56"/>
      <c r="G109" s="56"/>
      <c r="H109" s="57"/>
      <c r="I109" s="54"/>
      <c r="J109" s="57"/>
      <c r="K109" s="56"/>
      <c r="L109" s="56"/>
      <c r="M109" s="57"/>
      <c r="N109" s="55"/>
    </row>
    <row r="110" spans="1:14" ht="15.75">
      <c r="B110" s="57"/>
      <c r="C110" s="56"/>
      <c r="D110" s="56"/>
      <c r="E110" s="56"/>
      <c r="F110" s="56"/>
      <c r="G110" s="56"/>
      <c r="H110" s="57"/>
      <c r="I110" s="54"/>
      <c r="J110" s="57"/>
      <c r="K110" s="56"/>
      <c r="L110" s="56"/>
      <c r="M110" s="57"/>
      <c r="N110" s="55"/>
    </row>
    <row r="111" spans="1:14" ht="15.75">
      <c r="A111" s="7"/>
      <c r="B111" s="57"/>
      <c r="C111" s="56"/>
      <c r="D111" s="56"/>
      <c r="E111" s="56"/>
      <c r="F111" s="56"/>
      <c r="G111" s="56"/>
      <c r="H111" s="57"/>
      <c r="I111" s="54"/>
      <c r="J111" s="57"/>
      <c r="K111" s="56"/>
      <c r="L111" s="56"/>
      <c r="M111" s="57"/>
      <c r="N111" s="55"/>
    </row>
    <row r="112" spans="1:14" ht="15.75">
      <c r="A112" s="7"/>
      <c r="B112" s="57"/>
      <c r="C112" s="56"/>
      <c r="D112" s="56"/>
      <c r="E112" s="56"/>
      <c r="F112" s="56"/>
      <c r="G112" s="56"/>
      <c r="H112" s="57"/>
      <c r="I112" s="54"/>
      <c r="J112" s="57"/>
      <c r="K112" s="56"/>
      <c r="L112" s="56"/>
      <c r="M112" s="57"/>
      <c r="N112" s="55"/>
    </row>
    <row r="113" spans="1:14" ht="20.25">
      <c r="A113" s="205" t="s">
        <v>265</v>
      </c>
      <c r="B113" s="205"/>
      <c r="C113" s="205"/>
      <c r="D113" s="205"/>
      <c r="E113" s="205"/>
      <c r="F113" s="205"/>
      <c r="G113" s="205"/>
      <c r="H113" s="197"/>
      <c r="I113" s="197"/>
      <c r="J113" s="93"/>
      <c r="K113" s="93"/>
      <c r="L113" s="93"/>
      <c r="M113" s="93"/>
      <c r="N113" s="93"/>
    </row>
    <row r="114" spans="1:14" ht="20.25">
      <c r="A114" s="215" t="s">
        <v>78</v>
      </c>
      <c r="B114" s="215"/>
      <c r="C114" s="215"/>
      <c r="D114" s="215"/>
      <c r="E114" s="215"/>
      <c r="F114" s="215"/>
      <c r="G114" s="215"/>
      <c r="H114" s="195"/>
      <c r="I114" s="195"/>
      <c r="J114" s="94"/>
      <c r="K114" s="94"/>
      <c r="L114" s="94"/>
      <c r="M114" s="94"/>
      <c r="N114" s="94"/>
    </row>
    <row r="115" spans="1:14" ht="18.75">
      <c r="A115" s="40"/>
      <c r="B115" s="212" t="s">
        <v>301</v>
      </c>
      <c r="C115" s="213"/>
      <c r="D115" s="213"/>
      <c r="E115" s="213"/>
      <c r="F115" s="213"/>
      <c r="G115" s="213"/>
      <c r="H115" s="189"/>
      <c r="I115" s="189"/>
      <c r="J115" s="218"/>
      <c r="K115" s="218"/>
      <c r="L115" s="218"/>
      <c r="M115" s="218"/>
      <c r="N115" s="218"/>
    </row>
    <row r="116" spans="1:14" ht="42.75">
      <c r="A116" s="41" t="s">
        <v>1</v>
      </c>
      <c r="B116" s="66" t="s">
        <v>2</v>
      </c>
      <c r="C116" s="67" t="s">
        <v>3</v>
      </c>
      <c r="D116" s="68" t="s">
        <v>57</v>
      </c>
      <c r="E116" s="3" t="s">
        <v>274</v>
      </c>
      <c r="F116" s="45" t="s">
        <v>58</v>
      </c>
      <c r="G116" s="70" t="s">
        <v>6</v>
      </c>
      <c r="H116" s="79"/>
      <c r="I116" s="80"/>
      <c r="J116" s="81"/>
      <c r="K116" s="60"/>
      <c r="L116" s="58"/>
    </row>
    <row r="117" spans="1:14" ht="15.75">
      <c r="A117" s="40"/>
      <c r="B117" s="65" t="s">
        <v>32</v>
      </c>
      <c r="C117" s="65" t="s">
        <v>32</v>
      </c>
      <c r="D117" s="65" t="s">
        <v>32</v>
      </c>
      <c r="E117" s="6" t="s">
        <v>32</v>
      </c>
      <c r="F117" s="65" t="s">
        <v>32</v>
      </c>
      <c r="G117" s="76" t="s">
        <v>32</v>
      </c>
      <c r="H117" s="77"/>
      <c r="I117" s="78"/>
      <c r="J117" s="78"/>
      <c r="K117" s="78"/>
      <c r="L117" s="78"/>
    </row>
    <row r="118" spans="1:14" ht="15.75">
      <c r="A118" s="51" t="s">
        <v>302</v>
      </c>
      <c r="B118" s="137">
        <f>2512+16</f>
        <v>2528</v>
      </c>
      <c r="C118" s="62">
        <v>9</v>
      </c>
      <c r="D118" s="62">
        <v>2</v>
      </c>
      <c r="E118" s="62">
        <v>15</v>
      </c>
      <c r="F118" s="61">
        <v>153</v>
      </c>
      <c r="G118" s="139">
        <f>SUM(B118:F118)</f>
        <v>2707</v>
      </c>
      <c r="H118" s="75"/>
      <c r="I118" s="64"/>
      <c r="J118" s="64"/>
      <c r="K118" s="63"/>
      <c r="L118" s="55"/>
    </row>
    <row r="119" spans="1:14" ht="15.75">
      <c r="A119" s="51" t="s">
        <v>64</v>
      </c>
      <c r="B119" s="137">
        <f>2512+16</f>
        <v>2528</v>
      </c>
      <c r="C119" s="62">
        <v>9</v>
      </c>
      <c r="D119" s="62">
        <v>2</v>
      </c>
      <c r="E119" s="62">
        <v>15</v>
      </c>
      <c r="F119" s="61">
        <v>153</v>
      </c>
      <c r="G119" s="139">
        <f>SUM(B119:F119)</f>
        <v>2707</v>
      </c>
      <c r="H119" s="75"/>
      <c r="I119" s="64"/>
      <c r="J119" s="64"/>
      <c r="K119" s="63"/>
      <c r="L119" s="55"/>
    </row>
    <row r="120" spans="1:14" ht="15.75">
      <c r="A120" s="51" t="s">
        <v>65</v>
      </c>
      <c r="B120" s="137">
        <f>2258+16</f>
        <v>2274</v>
      </c>
      <c r="C120" s="62">
        <v>9</v>
      </c>
      <c r="D120" s="62">
        <v>2</v>
      </c>
      <c r="E120" s="62">
        <v>15</v>
      </c>
      <c r="F120" s="61">
        <v>153</v>
      </c>
      <c r="G120" s="139">
        <f>SUM(B120:F120)</f>
        <v>2453</v>
      </c>
      <c r="H120" s="75"/>
      <c r="I120" s="64"/>
      <c r="J120" s="64"/>
      <c r="K120" s="63"/>
      <c r="L120" s="55"/>
    </row>
    <row r="121" spans="1:14" ht="15.75">
      <c r="A121" s="7"/>
      <c r="B121" s="63"/>
      <c r="C121" s="64"/>
      <c r="D121" s="64"/>
      <c r="E121" s="64"/>
      <c r="F121" s="64"/>
      <c r="G121" s="64"/>
      <c r="H121" s="63"/>
      <c r="I121" s="54"/>
      <c r="J121" s="63"/>
      <c r="K121" s="64"/>
      <c r="L121" s="64"/>
      <c r="M121" s="63"/>
      <c r="N121" s="55"/>
    </row>
    <row r="122" spans="1:14" ht="15.75">
      <c r="A122" s="32" t="s">
        <v>30</v>
      </c>
      <c r="B122" s="57"/>
      <c r="C122" s="56"/>
      <c r="D122" s="56"/>
      <c r="E122" s="56"/>
      <c r="F122" s="56"/>
      <c r="G122" s="56"/>
      <c r="H122" s="57"/>
      <c r="I122" s="54"/>
      <c r="J122" s="57"/>
      <c r="K122" s="56"/>
      <c r="L122" s="56"/>
      <c r="M122" s="57"/>
      <c r="N122" s="55"/>
    </row>
    <row r="123" spans="1:14" ht="15.75">
      <c r="A123" t="s">
        <v>195</v>
      </c>
      <c r="B123" s="57"/>
      <c r="C123" s="56"/>
      <c r="D123" s="56"/>
      <c r="E123" s="56"/>
      <c r="F123" s="56"/>
      <c r="G123" s="56"/>
      <c r="H123" s="57"/>
      <c r="I123" s="54"/>
      <c r="J123" s="57"/>
      <c r="K123" s="56"/>
      <c r="L123" s="56"/>
      <c r="M123" s="57"/>
      <c r="N123" s="55"/>
    </row>
    <row r="124" spans="1:14" ht="15.75">
      <c r="A124" s="7"/>
      <c r="B124" s="57"/>
      <c r="C124" s="56"/>
      <c r="D124" s="56"/>
      <c r="E124" s="56"/>
      <c r="F124" s="56"/>
      <c r="G124" s="56"/>
      <c r="H124" s="57"/>
      <c r="I124" s="54"/>
      <c r="J124" s="57"/>
      <c r="K124" s="56"/>
      <c r="L124" s="56"/>
      <c r="M124" s="57"/>
      <c r="N124" s="55"/>
    </row>
    <row r="125" spans="1:14" ht="15.75">
      <c r="A125" s="7"/>
      <c r="B125" s="57"/>
      <c r="C125" s="56"/>
      <c r="D125" s="56"/>
      <c r="E125" s="56"/>
      <c r="F125" s="56"/>
      <c r="G125" s="56"/>
      <c r="H125" s="57"/>
      <c r="I125" s="54"/>
      <c r="J125" s="57"/>
      <c r="K125" s="56"/>
      <c r="L125" s="56"/>
      <c r="M125" s="57"/>
      <c r="N125" s="55"/>
    </row>
    <row r="126" spans="1:14" ht="15.75">
      <c r="A126" s="7"/>
      <c r="B126" s="57"/>
      <c r="C126" s="56"/>
      <c r="D126" s="56"/>
      <c r="E126" s="56"/>
      <c r="F126" s="56"/>
      <c r="G126" s="56"/>
      <c r="H126" s="57"/>
      <c r="I126" s="54"/>
      <c r="J126" s="57"/>
      <c r="K126" s="56"/>
      <c r="L126" s="56"/>
      <c r="M126" s="57"/>
      <c r="N126" s="55"/>
    </row>
    <row r="127" spans="1:14" ht="15.75">
      <c r="A127" s="7"/>
      <c r="B127" s="57"/>
      <c r="C127" s="56"/>
      <c r="D127" s="56"/>
      <c r="E127" s="56"/>
      <c r="F127" s="56"/>
      <c r="G127" s="56"/>
      <c r="H127" s="57"/>
      <c r="I127" s="54"/>
      <c r="J127" s="57"/>
      <c r="K127" s="56"/>
      <c r="L127" s="56"/>
      <c r="M127" s="57"/>
      <c r="N127" s="55"/>
    </row>
    <row r="128" spans="1:14" ht="20.25">
      <c r="A128" s="205" t="s">
        <v>265</v>
      </c>
      <c r="B128" s="205"/>
      <c r="C128" s="205"/>
      <c r="D128" s="205"/>
      <c r="E128" s="205"/>
      <c r="F128" s="205"/>
      <c r="G128" s="205"/>
      <c r="H128" s="197"/>
      <c r="I128" s="197"/>
      <c r="J128" s="93"/>
      <c r="K128" s="93"/>
      <c r="L128" s="93"/>
      <c r="M128" s="93"/>
      <c r="N128" s="93"/>
    </row>
    <row r="129" spans="1:14" ht="20.25">
      <c r="A129" s="215" t="s">
        <v>78</v>
      </c>
      <c r="B129" s="215"/>
      <c r="C129" s="215"/>
      <c r="D129" s="215"/>
      <c r="E129" s="215"/>
      <c r="F129" s="215"/>
      <c r="G129" s="215"/>
      <c r="H129" s="195"/>
      <c r="I129" s="195"/>
      <c r="J129" s="94"/>
      <c r="K129" s="94"/>
      <c r="L129" s="94"/>
      <c r="M129" s="94"/>
      <c r="N129" s="94"/>
    </row>
    <row r="130" spans="1:14" ht="18.75">
      <c r="A130" s="40"/>
      <c r="B130" s="212" t="s">
        <v>83</v>
      </c>
      <c r="C130" s="213"/>
      <c r="D130" s="213"/>
      <c r="E130" s="213"/>
      <c r="F130" s="213"/>
      <c r="G130" s="213"/>
      <c r="H130" s="189"/>
      <c r="I130" s="189"/>
      <c r="J130" s="218"/>
      <c r="K130" s="218"/>
      <c r="L130" s="218"/>
      <c r="M130" s="218"/>
      <c r="N130" s="218"/>
    </row>
    <row r="131" spans="1:14" ht="42.75">
      <c r="A131" s="41" t="s">
        <v>1</v>
      </c>
      <c r="B131" s="66" t="s">
        <v>2</v>
      </c>
      <c r="C131" s="67" t="s">
        <v>3</v>
      </c>
      <c r="D131" s="68" t="s">
        <v>57</v>
      </c>
      <c r="E131" s="3" t="s">
        <v>274</v>
      </c>
      <c r="F131" s="45" t="s">
        <v>58</v>
      </c>
      <c r="G131" s="70" t="s">
        <v>6</v>
      </c>
      <c r="H131" s="79"/>
      <c r="I131" s="80"/>
      <c r="J131" s="81"/>
      <c r="K131" s="60"/>
      <c r="L131" s="58"/>
    </row>
    <row r="132" spans="1:14" ht="15.75">
      <c r="A132" s="40"/>
      <c r="B132" s="65" t="s">
        <v>32</v>
      </c>
      <c r="C132" s="65" t="s">
        <v>32</v>
      </c>
      <c r="D132" s="65" t="s">
        <v>32</v>
      </c>
      <c r="E132" s="6" t="s">
        <v>32</v>
      </c>
      <c r="F132" s="65" t="s">
        <v>32</v>
      </c>
      <c r="G132" s="76" t="s">
        <v>32</v>
      </c>
      <c r="H132" s="77"/>
      <c r="I132" s="78"/>
      <c r="J132" s="78"/>
      <c r="K132" s="78"/>
      <c r="L132" s="78"/>
    </row>
    <row r="133" spans="1:14" ht="15.75">
      <c r="A133" s="51" t="s">
        <v>302</v>
      </c>
      <c r="B133" s="137">
        <f>2512+16</f>
        <v>2528</v>
      </c>
      <c r="C133" s="62">
        <v>9</v>
      </c>
      <c r="D133" s="62">
        <v>2</v>
      </c>
      <c r="E133" s="62">
        <v>15</v>
      </c>
      <c r="F133" s="61">
        <f>153*1.2</f>
        <v>183.6</v>
      </c>
      <c r="G133" s="139">
        <f>SUM(B133:F133)</f>
        <v>2737.6</v>
      </c>
      <c r="H133" s="75"/>
      <c r="I133" s="64"/>
      <c r="J133" s="64"/>
      <c r="K133" s="63"/>
      <c r="L133" s="55"/>
    </row>
    <row r="134" spans="1:14" ht="15.75">
      <c r="A134" s="51" t="s">
        <v>64</v>
      </c>
      <c r="B134" s="137">
        <f>2512+16</f>
        <v>2528</v>
      </c>
      <c r="C134" s="62">
        <v>9</v>
      </c>
      <c r="D134" s="62">
        <v>2</v>
      </c>
      <c r="E134" s="62">
        <v>15</v>
      </c>
      <c r="F134" s="61">
        <v>153</v>
      </c>
      <c r="G134" s="139">
        <f>SUM(B134:F134)</f>
        <v>2707</v>
      </c>
      <c r="H134" s="75"/>
      <c r="I134" s="64"/>
      <c r="J134" s="64"/>
      <c r="K134" s="63"/>
      <c r="L134" s="55"/>
    </row>
    <row r="135" spans="1:14" ht="15.75">
      <c r="A135" s="51" t="s">
        <v>65</v>
      </c>
      <c r="B135" s="137">
        <f>2258+16</f>
        <v>2274</v>
      </c>
      <c r="C135" s="62">
        <v>9</v>
      </c>
      <c r="D135" s="62">
        <v>2</v>
      </c>
      <c r="E135" s="62">
        <v>15</v>
      </c>
      <c r="F135" s="61">
        <v>153</v>
      </c>
      <c r="G135" s="139">
        <f>SUM(B135:F135)</f>
        <v>2453</v>
      </c>
      <c r="H135" s="75"/>
      <c r="I135" s="64"/>
      <c r="J135" s="64"/>
      <c r="K135" s="63"/>
      <c r="L135" s="55"/>
    </row>
    <row r="136" spans="1:14" ht="15.75">
      <c r="A136" s="7"/>
      <c r="B136" s="63"/>
      <c r="C136" s="64"/>
      <c r="D136" s="64"/>
      <c r="E136" s="64"/>
      <c r="F136" s="64"/>
      <c r="G136" s="64"/>
      <c r="H136" s="63"/>
      <c r="I136" s="54"/>
      <c r="J136" s="63"/>
      <c r="K136" s="64"/>
      <c r="L136" s="64"/>
      <c r="M136" s="63"/>
      <c r="N136" s="55"/>
    </row>
    <row r="137" spans="1:14" ht="15.75">
      <c r="A137" s="32" t="s">
        <v>30</v>
      </c>
      <c r="B137" s="57"/>
      <c r="C137" s="56"/>
      <c r="D137" s="56"/>
      <c r="E137" s="56"/>
      <c r="F137" s="56"/>
      <c r="G137" s="56"/>
      <c r="H137" s="57"/>
      <c r="I137" s="54"/>
      <c r="J137" s="57"/>
      <c r="K137" s="56"/>
      <c r="L137" s="56"/>
      <c r="M137" s="57"/>
      <c r="N137" s="55"/>
    </row>
    <row r="138" spans="1:14" ht="15.75">
      <c r="A138" t="s">
        <v>195</v>
      </c>
      <c r="B138" s="57"/>
      <c r="C138" s="56"/>
      <c r="D138" s="56"/>
      <c r="E138" s="56"/>
      <c r="F138" s="56"/>
      <c r="G138" s="56"/>
      <c r="H138" s="57"/>
      <c r="I138" s="54"/>
      <c r="J138" s="57"/>
      <c r="K138" s="56"/>
      <c r="L138" s="56"/>
      <c r="M138" s="57"/>
      <c r="N138" s="55"/>
    </row>
    <row r="139" spans="1:14" ht="15.75">
      <c r="A139" t="s">
        <v>303</v>
      </c>
      <c r="B139" s="57"/>
      <c r="C139" s="56"/>
      <c r="D139" s="56"/>
      <c r="E139" s="56"/>
      <c r="F139" s="56"/>
      <c r="G139" s="56"/>
      <c r="H139" s="57"/>
      <c r="I139" s="54"/>
      <c r="J139" s="57"/>
      <c r="K139" s="56"/>
      <c r="L139" s="56"/>
      <c r="M139" s="57"/>
      <c r="N139" s="55"/>
    </row>
    <row r="140" spans="1:14" ht="15.75">
      <c r="B140" s="57"/>
      <c r="C140" s="56"/>
      <c r="D140" s="56"/>
      <c r="E140" s="56"/>
      <c r="F140" s="56"/>
      <c r="G140" s="56"/>
      <c r="H140" s="57"/>
      <c r="I140" s="54"/>
      <c r="J140" s="57"/>
      <c r="K140" s="56"/>
      <c r="L140" s="56"/>
      <c r="M140" s="57"/>
      <c r="N140" s="55"/>
    </row>
    <row r="141" spans="1:14" ht="15.75">
      <c r="B141" s="57"/>
      <c r="C141" s="56"/>
      <c r="D141" s="56"/>
      <c r="E141" s="56"/>
      <c r="F141" s="56"/>
      <c r="G141" s="56"/>
      <c r="H141" s="57"/>
      <c r="I141" s="54"/>
      <c r="J141" s="57"/>
      <c r="K141" s="56"/>
      <c r="L141" s="56"/>
      <c r="M141" s="57"/>
      <c r="N141" s="55"/>
    </row>
    <row r="142" spans="1:14" ht="15.75">
      <c r="B142" s="57"/>
      <c r="C142" s="56"/>
      <c r="D142" s="56"/>
      <c r="E142" s="56"/>
      <c r="F142" s="56"/>
      <c r="G142" s="56"/>
      <c r="H142" s="57"/>
      <c r="I142" s="54"/>
      <c r="J142" s="57"/>
      <c r="K142" s="56"/>
      <c r="L142" s="56"/>
      <c r="M142" s="57"/>
      <c r="N142" s="55"/>
    </row>
    <row r="143" spans="1:14" ht="15.75">
      <c r="B143" s="57"/>
      <c r="C143" s="56"/>
      <c r="D143" s="56"/>
      <c r="E143" s="56"/>
      <c r="F143" s="56"/>
      <c r="G143" s="56"/>
      <c r="H143" s="57"/>
      <c r="I143" s="54"/>
      <c r="J143" s="57"/>
      <c r="K143" s="56"/>
      <c r="L143" s="56"/>
      <c r="M143" s="57"/>
      <c r="N143" s="55"/>
    </row>
    <row r="144" spans="1:14" ht="20.25">
      <c r="A144" s="205" t="s">
        <v>265</v>
      </c>
      <c r="B144" s="205"/>
      <c r="C144" s="205"/>
      <c r="D144" s="205"/>
      <c r="E144" s="205"/>
      <c r="F144" s="205"/>
      <c r="G144" s="205"/>
      <c r="H144" s="197"/>
      <c r="I144" s="197"/>
      <c r="J144" s="93"/>
      <c r="K144" s="93"/>
      <c r="L144" s="93"/>
      <c r="M144" s="93"/>
      <c r="N144" s="93"/>
    </row>
    <row r="145" spans="1:14" ht="20.25">
      <c r="A145" s="215" t="s">
        <v>79</v>
      </c>
      <c r="B145" s="215"/>
      <c r="C145" s="215"/>
      <c r="D145" s="215"/>
      <c r="E145" s="215"/>
      <c r="F145" s="215"/>
      <c r="G145" s="215"/>
      <c r="H145" s="195"/>
      <c r="I145" s="195"/>
      <c r="J145" s="94"/>
      <c r="K145" s="94"/>
      <c r="L145" s="94"/>
      <c r="M145" s="94"/>
      <c r="N145" s="94"/>
    </row>
    <row r="146" spans="1:14" ht="18.75">
      <c r="A146" s="40"/>
      <c r="B146" s="212" t="s">
        <v>164</v>
      </c>
      <c r="C146" s="213"/>
      <c r="D146" s="213"/>
      <c r="E146" s="213"/>
      <c r="F146" s="213"/>
      <c r="G146" s="213"/>
      <c r="H146" s="189"/>
      <c r="I146" s="189"/>
      <c r="J146" s="218"/>
      <c r="K146" s="218"/>
      <c r="L146" s="218"/>
      <c r="M146" s="218"/>
      <c r="N146" s="218"/>
    </row>
    <row r="147" spans="1:14" ht="42.75">
      <c r="A147" s="41" t="s">
        <v>1</v>
      </c>
      <c r="B147" s="66" t="s">
        <v>2</v>
      </c>
      <c r="C147" s="67" t="s">
        <v>3</v>
      </c>
      <c r="D147" s="68" t="s">
        <v>57</v>
      </c>
      <c r="E147" s="3" t="s">
        <v>274</v>
      </c>
      <c r="F147" s="45" t="s">
        <v>58</v>
      </c>
      <c r="G147" s="70" t="s">
        <v>6</v>
      </c>
      <c r="H147" s="79"/>
      <c r="I147" s="80"/>
      <c r="J147" s="81"/>
      <c r="K147" s="60"/>
      <c r="L147" s="58"/>
    </row>
    <row r="148" spans="1:14" ht="15.75">
      <c r="A148" s="40"/>
      <c r="B148" s="6" t="s">
        <v>32</v>
      </c>
      <c r="C148" s="6" t="s">
        <v>32</v>
      </c>
      <c r="D148" s="6" t="s">
        <v>32</v>
      </c>
      <c r="E148" s="6" t="s">
        <v>32</v>
      </c>
      <c r="F148" s="6" t="s">
        <v>32</v>
      </c>
      <c r="G148" s="76" t="s">
        <v>32</v>
      </c>
      <c r="H148" s="73"/>
      <c r="I148" s="2"/>
      <c r="J148" s="2"/>
      <c r="K148" s="2"/>
      <c r="L148" s="78"/>
    </row>
    <row r="149" spans="1:14" ht="15.75">
      <c r="A149" s="51" t="s">
        <v>71</v>
      </c>
      <c r="B149" s="135">
        <f>2588+16</f>
        <v>2604</v>
      </c>
      <c r="C149" s="62">
        <v>9</v>
      </c>
      <c r="D149" s="62">
        <v>2</v>
      </c>
      <c r="E149" s="62">
        <v>15</v>
      </c>
      <c r="F149" s="47">
        <v>153</v>
      </c>
      <c r="G149" s="139">
        <f>SUM(B149:F149)</f>
        <v>2783</v>
      </c>
      <c r="H149" s="74"/>
      <c r="I149" s="53"/>
      <c r="J149" s="53"/>
      <c r="K149" s="52"/>
      <c r="L149" s="55"/>
    </row>
    <row r="150" spans="1:14" ht="15.75">
      <c r="A150" s="51" t="s">
        <v>73</v>
      </c>
      <c r="B150" s="135">
        <f>1524+16</f>
        <v>1540</v>
      </c>
      <c r="C150" s="62">
        <v>9</v>
      </c>
      <c r="D150" s="62">
        <v>2</v>
      </c>
      <c r="E150" s="62">
        <v>15</v>
      </c>
      <c r="F150" s="47">
        <v>0</v>
      </c>
      <c r="G150" s="139">
        <f>SUM(B150:F150)</f>
        <v>1566</v>
      </c>
      <c r="H150" s="74"/>
      <c r="I150" s="53"/>
      <c r="J150" s="53"/>
      <c r="K150" s="52"/>
      <c r="L150" s="55"/>
    </row>
    <row r="151" spans="1:14" ht="15.75">
      <c r="A151" s="51" t="s">
        <v>74</v>
      </c>
      <c r="B151" s="135">
        <f>1524+16</f>
        <v>1540</v>
      </c>
      <c r="C151" s="62">
        <v>9</v>
      </c>
      <c r="D151" s="62">
        <v>2</v>
      </c>
      <c r="E151" s="62">
        <v>15</v>
      </c>
      <c r="F151" s="47">
        <v>0</v>
      </c>
      <c r="G151" s="139">
        <f>SUM(B151:F151)</f>
        <v>1566</v>
      </c>
      <c r="H151" s="74"/>
      <c r="I151" s="53"/>
      <c r="J151" s="53"/>
      <c r="K151" s="52"/>
      <c r="L151" s="55"/>
    </row>
    <row r="154" spans="1:14">
      <c r="A154" s="32" t="s">
        <v>30</v>
      </c>
      <c r="L154" s="49"/>
    </row>
    <row r="155" spans="1:14">
      <c r="A155" t="s">
        <v>195</v>
      </c>
      <c r="L155" s="49"/>
    </row>
    <row r="159" spans="1:14" ht="20.25">
      <c r="A159" s="205" t="s">
        <v>265</v>
      </c>
      <c r="B159" s="205"/>
      <c r="C159" s="205"/>
      <c r="D159" s="205"/>
      <c r="E159" s="205"/>
      <c r="F159" s="205"/>
      <c r="G159" s="205"/>
      <c r="H159" s="197"/>
      <c r="I159" s="197"/>
      <c r="J159" s="93"/>
      <c r="K159" s="93"/>
      <c r="L159" s="93"/>
      <c r="M159" s="93"/>
      <c r="N159" s="93"/>
    </row>
    <row r="160" spans="1:14" ht="20.25">
      <c r="A160" s="215" t="s">
        <v>80</v>
      </c>
      <c r="B160" s="215"/>
      <c r="C160" s="215"/>
      <c r="D160" s="215"/>
      <c r="E160" s="215"/>
      <c r="F160" s="215"/>
      <c r="G160" s="215"/>
      <c r="H160" s="195"/>
      <c r="I160" s="195"/>
      <c r="J160" s="94"/>
      <c r="K160" s="94"/>
      <c r="L160" s="94"/>
      <c r="M160" s="94"/>
      <c r="N160" s="94"/>
    </row>
    <row r="161" spans="1:14" ht="18.75">
      <c r="A161" s="40"/>
      <c r="B161" s="212" t="s">
        <v>231</v>
      </c>
      <c r="C161" s="213"/>
      <c r="D161" s="213"/>
      <c r="E161" s="213"/>
      <c r="F161" s="213"/>
      <c r="G161" s="213"/>
      <c r="H161" s="189"/>
      <c r="I161" s="189"/>
      <c r="J161" s="218"/>
      <c r="K161" s="218"/>
      <c r="L161" s="218"/>
      <c r="M161" s="218"/>
      <c r="N161" s="218"/>
    </row>
    <row r="162" spans="1:14" ht="42.75">
      <c r="A162" s="41" t="s">
        <v>1</v>
      </c>
      <c r="B162" s="66" t="s">
        <v>2</v>
      </c>
      <c r="C162" s="67" t="s">
        <v>3</v>
      </c>
      <c r="D162" s="68" t="s">
        <v>57</v>
      </c>
      <c r="E162" s="3" t="s">
        <v>274</v>
      </c>
      <c r="F162" s="45" t="s">
        <v>58</v>
      </c>
      <c r="G162" s="70" t="s">
        <v>6</v>
      </c>
      <c r="H162" s="79"/>
      <c r="I162" s="80"/>
      <c r="J162" s="81"/>
      <c r="K162" s="60"/>
      <c r="L162" s="58"/>
    </row>
    <row r="163" spans="1:14" ht="15.75">
      <c r="A163" s="40"/>
      <c r="B163" s="6" t="s">
        <v>32</v>
      </c>
      <c r="C163" s="6" t="s">
        <v>32</v>
      </c>
      <c r="D163" s="6" t="s">
        <v>32</v>
      </c>
      <c r="E163" s="6" t="s">
        <v>32</v>
      </c>
      <c r="F163" s="6" t="s">
        <v>32</v>
      </c>
      <c r="G163" s="76" t="s">
        <v>32</v>
      </c>
      <c r="H163" s="73"/>
      <c r="I163" s="2"/>
      <c r="J163" s="2"/>
      <c r="K163" s="2"/>
      <c r="L163" s="78"/>
    </row>
    <row r="164" spans="1:14" ht="15.75">
      <c r="A164" s="40" t="s">
        <v>76</v>
      </c>
      <c r="B164" s="127">
        <f>3915+16</f>
        <v>3931</v>
      </c>
      <c r="C164" s="62">
        <v>9</v>
      </c>
      <c r="D164" s="62">
        <v>2</v>
      </c>
      <c r="E164" s="62">
        <v>15</v>
      </c>
      <c r="F164" s="48">
        <v>160</v>
      </c>
      <c r="G164" s="139">
        <f>SUM(B164:F164)</f>
        <v>4117</v>
      </c>
      <c r="H164" s="82"/>
      <c r="I164" s="53"/>
      <c r="J164" s="53"/>
      <c r="K164" s="53"/>
      <c r="L164" s="54"/>
    </row>
    <row r="165" spans="1:14" ht="15.75">
      <c r="A165" s="25"/>
      <c r="B165" s="179"/>
      <c r="C165" s="64"/>
      <c r="D165" s="64"/>
      <c r="E165" s="64"/>
      <c r="F165" s="64"/>
      <c r="G165" s="64"/>
      <c r="H165" s="53"/>
      <c r="I165" s="187"/>
      <c r="J165" s="53"/>
      <c r="K165" s="53"/>
      <c r="L165" s="53"/>
      <c r="M165" s="53"/>
      <c r="N165" s="54"/>
    </row>
    <row r="166" spans="1:14">
      <c r="E166" s="64"/>
      <c r="F166" s="64"/>
      <c r="G166" s="64"/>
    </row>
    <row r="167" spans="1:14">
      <c r="A167" s="32" t="s">
        <v>30</v>
      </c>
    </row>
    <row r="168" spans="1:14">
      <c r="A168" t="s">
        <v>196</v>
      </c>
    </row>
  </sheetData>
  <mergeCells count="46">
    <mergeCell ref="J3:N3"/>
    <mergeCell ref="J32:N32"/>
    <mergeCell ref="J17:N17"/>
    <mergeCell ref="A1:G1"/>
    <mergeCell ref="A2:G2"/>
    <mergeCell ref="B3:G3"/>
    <mergeCell ref="A15:G15"/>
    <mergeCell ref="A16:G16"/>
    <mergeCell ref="B17:G17"/>
    <mergeCell ref="J65:N65"/>
    <mergeCell ref="A63:I63"/>
    <mergeCell ref="A64:I64"/>
    <mergeCell ref="B65:H65"/>
    <mergeCell ref="B69:H69"/>
    <mergeCell ref="J51:N51"/>
    <mergeCell ref="A30:G30"/>
    <mergeCell ref="A31:G31"/>
    <mergeCell ref="B32:G32"/>
    <mergeCell ref="A49:G49"/>
    <mergeCell ref="A50:G50"/>
    <mergeCell ref="B51:G51"/>
    <mergeCell ref="B71:H71"/>
    <mergeCell ref="A83:G83"/>
    <mergeCell ref="A84:G84"/>
    <mergeCell ref="A128:G128"/>
    <mergeCell ref="A129:G129"/>
    <mergeCell ref="J85:N85"/>
    <mergeCell ref="J115:N115"/>
    <mergeCell ref="J101:N101"/>
    <mergeCell ref="A99:G99"/>
    <mergeCell ref="A100:G100"/>
    <mergeCell ref="B101:G101"/>
    <mergeCell ref="B85:G85"/>
    <mergeCell ref="A113:G113"/>
    <mergeCell ref="A114:G114"/>
    <mergeCell ref="B115:G115"/>
    <mergeCell ref="J130:N130"/>
    <mergeCell ref="B146:G146"/>
    <mergeCell ref="A159:G159"/>
    <mergeCell ref="J161:N161"/>
    <mergeCell ref="J146:N146"/>
    <mergeCell ref="A160:G160"/>
    <mergeCell ref="B161:G161"/>
    <mergeCell ref="A144:G144"/>
    <mergeCell ref="A145:G145"/>
    <mergeCell ref="B130:G130"/>
  </mergeCells>
  <pageMargins left="0.37" right="0.33" top="0.56999999999999995" bottom="0.47" header="0.3" footer="0.3"/>
  <pageSetup orientation="landscape" r:id="rId1"/>
  <ignoredErrors>
    <ignoredError sqref="B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LEVEL 100 (FRESHERS)</vt:lpstr>
      <vt:lpstr>ATHE-FRESHERSS</vt:lpstr>
      <vt:lpstr>LEVEL 200</vt:lpstr>
      <vt:lpstr>LEVEL 300</vt:lpstr>
      <vt:lpstr>LEVEL 400</vt:lpstr>
      <vt:lpstr>L 100 SCIENCES (FRESHERS)</vt:lpstr>
      <vt:lpstr>LEVEL 200 (SCIENCES)</vt:lpstr>
      <vt:lpstr>L 300 (SCIENCES)</vt:lpstr>
      <vt:lpstr>L 400 (SCIENCES)</vt:lpstr>
      <vt:lpstr>GRAD. SCH. L 500 </vt:lpstr>
      <vt:lpstr>GRAD. SCH. L 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Gof_8</dc:creator>
  <cp:lastModifiedBy>Gof_8</cp:lastModifiedBy>
  <cp:lastPrinted>2024-06-05T13:57:31Z</cp:lastPrinted>
  <dcterms:created xsi:type="dcterms:W3CDTF">2021-12-13T13:17:41Z</dcterms:created>
  <dcterms:modified xsi:type="dcterms:W3CDTF">2024-09-02T15:02:59Z</dcterms:modified>
</cp:coreProperties>
</file>